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tbb/Desktop/"/>
    </mc:Choice>
  </mc:AlternateContent>
  <xr:revisionPtr revIDLastSave="0" documentId="8_{7EBF6EDA-85E5-9649-8EE4-96402E808195}" xr6:coauthVersionLast="47" xr6:coauthVersionMax="47" xr10:uidLastSave="{00000000-0000-0000-0000-000000000000}"/>
  <bookViews>
    <workbookView xWindow="0" yWindow="500" windowWidth="33600" windowHeight="20500" xr2:uid="{00000000-000D-0000-FFFF-FFFF00000000}"/>
  </bookViews>
  <sheets>
    <sheet name="Calf Barn Sizing Calculator" sheetId="1" r:id="rId1"/>
    <sheet name="Partial Budget" sheetId="2" r:id="rId2"/>
  </sheets>
  <definedNames>
    <definedName name="Acre_value">'Partial Budget'!$C$20</definedName>
    <definedName name="Age_range">'Calf Barn Sizing Calculator'!$C$23</definedName>
    <definedName name="AIAO_annual_payment">'Partial Budget'!$C$23</definedName>
    <definedName name="AIAO_barn_cycle_days">'Partial Budget'!$C$19</definedName>
    <definedName name="AIAO_building_cost">'Partial Budget'!$C$22</definedName>
    <definedName name="AIAO_capacity_per_cycle">'Partial Budget'!$C$18</definedName>
    <definedName name="AIAO_cycle_pmt">'Partial Budget'!#REF!</definedName>
    <definedName name="AIAO_enteric_Rx_pct">'Partial Budget'!$G$20</definedName>
    <definedName name="AIAO_est_resp_morbidity">'Partial Budget'!$G$22</definedName>
    <definedName name="AIAO_mortality_pct">'Partial Budget'!$G$19</definedName>
    <definedName name="AIAO_resp_Rx_pct">'Partial Budget'!$G$21</definedName>
    <definedName name="Building_cost_per_space">'Partial Budget'!$C$10</definedName>
    <definedName name="Calves_per_year">'Partial Budget'!$C$8</definedName>
    <definedName name="CF_annual_payment">'Partial Budget'!$C$15</definedName>
    <definedName name="CF_barn_cycle_days">'Partial Budget'!$C$12</definedName>
    <definedName name="CF_building_cost">'Partial Budget'!$C$11</definedName>
    <definedName name="CF_capacity_per_cycle">'Partial Budget'!$C$9</definedName>
    <definedName name="CF_cycle_pmt">'Partial Budget'!#REF!</definedName>
    <definedName name="CF_enteric_Rx_pct">'Partial Budget'!$G$12</definedName>
    <definedName name="CF_est_resp_morbidity">'Partial Budget'!$G$14</definedName>
    <definedName name="CF_mortality_pct">'Partial Budget'!$G$11</definedName>
    <definedName name="CF_resp_Rx_pct">'Partial Budget'!$G$13</definedName>
    <definedName name="Cleaning_cost_per_cycle">'Partial Budget'!$G$18</definedName>
    <definedName name="Cost_enteric_Rx">'Partial Budget'!$G$10</definedName>
    <definedName name="Cost_respiratory_Rx">'Partial Budget'!$G$9</definedName>
    <definedName name="Cost_Rx__enteric">'Partial Budget'!$G$22</definedName>
    <definedName name="Cost_Rx__resp">'Partial Budget'!#REF!</definedName>
    <definedName name="days_indiv_pen">'Calf Barn Sizing Calculator'!$C$29</definedName>
    <definedName name="days_individual_pen">'Calf Barn Sizing Calculator'!#REF!</definedName>
    <definedName name="days_on_milk">'Calf Barn Sizing Calculator'!$C$15</definedName>
    <definedName name="delay_days">'Calf Barn Sizing Calculator'!$C$16</definedName>
    <definedName name="downtime_days">'Calf Barn Sizing Calculator'!$C$17</definedName>
    <definedName name="enter_per_day">'Calf Barn Sizing Calculator'!$C$13</definedName>
    <definedName name="enter_per_year">'Calf Barn Sizing Calculator'!#REF!</definedName>
    <definedName name="fresh_factor">'Calf Barn Sizing Calculator'!$C$9</definedName>
    <definedName name="Future_milk_loss_resp_case">'Partial Budget'!$G$15</definedName>
    <definedName name="herd_size">'Calf Barn Sizing Calculator'!$C$8</definedName>
    <definedName name="herdsize">'Calf Barn Sizing Calculator'!$C$8</definedName>
    <definedName name="Interest_rate">'Partial Budget'!$C$13</definedName>
    <definedName name="live_calves_per_day">'Calf Barn Sizing Calculator'!$C$11</definedName>
    <definedName name="max_calves_feeder">'Calf Barn Sizing Calculator'!$C$31</definedName>
    <definedName name="max_calves_group">'Calf Barn Sizing Calculator'!#REF!</definedName>
    <definedName name="Milk_price">'Partial Budget'!$C$16</definedName>
    <definedName name="No_indiv_pens">'Calf Barn Sizing Calculator'!$D$30</definedName>
    <definedName name="Number_acres">'Partial Budget'!$C$21</definedName>
    <definedName name="Opt1_adj_factor">'Calf Barn Sizing Calculator'!$D$20</definedName>
    <definedName name="Opt1_avg_calves_cycle">'Calf Barn Sizing Calculator'!$D$19</definedName>
    <definedName name="Opt1_capacity">'Calf Barn Sizing Calculator'!$D$21</definedName>
    <definedName name="Opt1_cycle_days">'Calf Barn Sizing Calculator'!$D$18</definedName>
    <definedName name="Opt2_adj_factor">'Calf Barn Sizing Calculator'!$E$20</definedName>
    <definedName name="Opt2_avg_calves_cycle">'Calf Barn Sizing Calculator'!$E$19</definedName>
    <definedName name="Opt2_capacity">'Calf Barn Sizing Calculator'!$E$21</definedName>
    <definedName name="Opt2_cycle_days">'Calf Barn Sizing Calculator'!$E$18</definedName>
    <definedName name="Opt3_adj_factor">'Calf Barn Sizing Calculator'!$F$20</definedName>
    <definedName name="Opt3_avg_calves_cycle">'Calf Barn Sizing Calculator'!$F$19</definedName>
    <definedName name="Opt3_capacity">'Calf Barn Sizing Calculator'!$F$21</definedName>
    <definedName name="Opt3_cycle_days">'Calf Barn Sizing Calculator'!$F$18</definedName>
    <definedName name="Pct_raised">'Calf Barn Sizing Calculator'!$C$12</definedName>
    <definedName name="pct_stillborn">'Calf Barn Sizing Calculator'!$C$10</definedName>
    <definedName name="pref_barn_capacity">'Calf Barn Sizing Calculator'!$C$26</definedName>
    <definedName name="propstillborn">'Calf Barn Sizing Calculator'!$C$10</definedName>
    <definedName name="Repayment_period">'Partial Budget'!$C$14</definedName>
    <definedName name="Value_future_milk_loss">'Partial Budget'!$G$16</definedName>
    <definedName name="Value_heifer">'Partial Budget'!$G$8</definedName>
    <definedName name="Wk1_adjust_factor">'Calf Barn Sizing Calculator'!#REF!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2" l="1"/>
  <c r="F34" i="1"/>
  <c r="E34" i="1"/>
  <c r="G14" i="2" l="1"/>
  <c r="G16" i="2"/>
  <c r="G22" i="2"/>
  <c r="H28" i="2"/>
  <c r="E17" i="1" l="1"/>
  <c r="D17" i="1"/>
  <c r="F16" i="1"/>
  <c r="E16" i="1"/>
  <c r="D16" i="1"/>
  <c r="F15" i="1"/>
  <c r="E15" i="1"/>
  <c r="D15" i="1"/>
  <c r="C11" i="1"/>
  <c r="C13" i="1" s="1"/>
  <c r="F24" i="1" l="1"/>
  <c r="F33" i="1" s="1"/>
  <c r="D24" i="1"/>
  <c r="D33" i="1" s="1"/>
  <c r="E18" i="1"/>
  <c r="F18" i="1"/>
  <c r="F30" i="1"/>
  <c r="E30" i="1"/>
  <c r="D30" i="1"/>
  <c r="D18" i="1"/>
  <c r="D19" i="1" s="1"/>
  <c r="D21" i="1" s="1"/>
  <c r="D25" i="1" l="1"/>
  <c r="D32" i="1"/>
  <c r="F19" i="1"/>
  <c r="F21" i="1" s="1"/>
  <c r="F32" i="1" s="1"/>
  <c r="C19" i="2"/>
  <c r="G32" i="2" s="1"/>
  <c r="E19" i="1"/>
  <c r="E21" i="1" s="1"/>
  <c r="E32" i="1" s="1"/>
  <c r="C12" i="2"/>
  <c r="C26" i="2"/>
  <c r="C32" i="2"/>
  <c r="C31" i="2"/>
  <c r="C27" i="2"/>
  <c r="E27" i="1" l="1"/>
  <c r="F25" i="1"/>
  <c r="F27" i="1"/>
  <c r="C9" i="2"/>
  <c r="C11" i="2" s="1"/>
  <c r="C15" i="2" s="1"/>
  <c r="C18" i="2"/>
  <c r="C22" i="2" s="1"/>
  <c r="C23" i="2" s="1"/>
  <c r="D28" i="2"/>
  <c r="D33" i="2"/>
  <c r="G31" i="2" l="1"/>
  <c r="H33" i="2" s="1"/>
  <c r="D3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Kenneth Nordlund</author>
  </authors>
  <commentList>
    <comment ref="B9" authorId="0" shapeId="0" xr:uid="{2BFF1B9D-B2A5-E347-9F86-C3739A32F059}">
      <text>
        <r>
          <rPr>
            <sz val="10"/>
            <color rgb="FF000000"/>
            <rFont val="Tahoma"/>
            <family val="34"/>
          </rPr>
          <t xml:space="preserve">There are usually more calves, typically 110% of the total herd size, born per year than the number of cows in the herd due to the number of heifers freshening and cull cows leaving the herd without completing a full lactation.
</t>
        </r>
      </text>
    </comment>
    <comment ref="D14" authorId="1" shapeId="0" xr:uid="{00000000-0006-0000-0100-000001000000}">
      <text>
        <r>
          <rPr>
            <sz val="10"/>
            <color rgb="FF000000"/>
            <rFont val="Tahoma"/>
            <family val="2"/>
          </rPr>
          <t>The ideal all-in, all-out (AI-AO) option. Start filling a new barn after the target age limitation is reached in the current barn. Sometimes the current barn will not yet be filled.</t>
        </r>
        <r>
          <rPr>
            <sz val="9"/>
            <color rgb="FF000000"/>
            <rFont val="Tahoma"/>
            <family val="2"/>
          </rPr>
          <t xml:space="preserve">
</t>
        </r>
      </text>
    </comment>
    <comment ref="E14" authorId="1" shapeId="0" xr:uid="{00000000-0006-0000-0100-000002000000}">
      <text>
        <r>
          <rPr>
            <sz val="10"/>
            <color rgb="FF000000"/>
            <rFont val="Tahoma"/>
            <family val="2"/>
          </rPr>
          <t>Start to fill the next barn only after the current barn capacity has been reached. Maximum age difference between youngest and oldest calf will be determined by the herd's calving rate. The overall average age range within the barn will be equal to the desired age range, but slow calving periods will result in a larger age range between calves, while calving surges will reduce the age range.</t>
        </r>
        <r>
          <rPr>
            <sz val="9"/>
            <color rgb="FF000000"/>
            <rFont val="Tahoma"/>
            <family val="2"/>
          </rPr>
          <t xml:space="preserve">
</t>
        </r>
      </text>
    </comment>
    <comment ref="F14" authorId="1" shapeId="0" xr:uid="{00000000-0006-0000-0100-000003000000}">
      <text>
        <r>
          <rPr>
            <sz val="10"/>
            <color rgb="FF000000"/>
            <rFont val="Tahoma"/>
            <family val="2"/>
          </rPr>
          <t>New calves replace older weaned calves as they are moved on to the post-weaned barn. Maximum age difference between the youngest and oldest calf will be determined by the herd's calving rate. Since a new calf replaces an older calf, continuous flow does not typically allow for the down time needed for efficient cleaning and disinfection. This is the most space-efficient option, but a significant drawback is the very limited ability to control for infectious disease.</t>
        </r>
        <r>
          <rPr>
            <sz val="9"/>
            <color rgb="FF000000"/>
            <rFont val="Tahoma"/>
            <family val="2"/>
          </rPr>
          <t xml:space="preserve">
</t>
        </r>
      </text>
    </comment>
    <comment ref="B16" authorId="1" shapeId="0" xr:uid="{00000000-0006-0000-0100-000004000000}">
      <text>
        <r>
          <rPr>
            <sz val="10"/>
            <color rgb="FF000000"/>
            <rFont val="Tahoma"/>
            <family val="2"/>
          </rPr>
          <t>Recommend 5-7 days in the nursing barn to acclimate to a post-weaned diet before moving to a new barn.</t>
        </r>
      </text>
    </comment>
    <comment ref="B17" authorId="1" shapeId="0" xr:uid="{00000000-0006-0000-0100-000005000000}">
      <text>
        <r>
          <rPr>
            <sz val="10"/>
            <color rgb="FF000000"/>
            <rFont val="Tahoma"/>
            <family val="2"/>
          </rPr>
          <t>Recommend 5-7 days to let the barn sit empty with ventilation systems running after cleaning and disinfecting.</t>
        </r>
      </text>
    </comment>
    <comment ref="B20" authorId="1" shapeId="0" xr:uid="{BFD4C602-0E53-46DD-9255-014C73A3A9E2}">
      <text>
        <r>
          <rPr>
            <sz val="10"/>
            <color rgb="FF000000"/>
            <rFont val="Tahoma"/>
            <family val="2"/>
          </rPr>
          <t xml:space="preserve">Variation in number of calvings per week compared to annual average per week is inversely related to the duration of the time period. Reference values for length of period in weeks:
</t>
        </r>
        <r>
          <rPr>
            <sz val="10"/>
            <color rgb="FF000000"/>
            <rFont val="Tahoma"/>
            <family val="2"/>
          </rPr>
          <t xml:space="preserve">
</t>
        </r>
        <r>
          <rPr>
            <sz val="10"/>
            <color rgb="FF000000"/>
            <rFont val="Tahoma"/>
            <family val="2"/>
          </rPr>
          <t xml:space="preserve">1 week:  143% of average
</t>
        </r>
        <r>
          <rPr>
            <sz val="10"/>
            <color rgb="FF000000"/>
            <rFont val="Tahoma"/>
            <family val="2"/>
          </rPr>
          <t xml:space="preserve">2 weeks: 127%        "
</t>
        </r>
        <r>
          <rPr>
            <sz val="10"/>
            <color rgb="FF000000"/>
            <rFont val="Tahoma"/>
            <family val="2"/>
          </rPr>
          <t xml:space="preserve">3 weeks: 124%        "
</t>
        </r>
        <r>
          <rPr>
            <sz val="10"/>
            <color rgb="FF000000"/>
            <rFont val="Tahoma"/>
            <family val="2"/>
          </rPr>
          <t xml:space="preserve">4 weeks: 119%        "
</t>
        </r>
        <r>
          <rPr>
            <sz val="10"/>
            <color rgb="FF000000"/>
            <rFont val="Tahoma"/>
            <family val="2"/>
          </rPr>
          <t xml:space="preserve">5 weeks: 118%        "
</t>
        </r>
        <r>
          <rPr>
            <sz val="10"/>
            <color rgb="FF000000"/>
            <rFont val="Tahoma"/>
            <family val="2"/>
          </rPr>
          <t xml:space="preserve">6 weeks: 115%        "
</t>
        </r>
        <r>
          <rPr>
            <sz val="10"/>
            <color rgb="FF000000"/>
            <rFont val="Tahoma"/>
            <family val="2"/>
          </rPr>
          <t xml:space="preserve">7 weeks: 112%        "
</t>
        </r>
        <r>
          <rPr>
            <sz val="10"/>
            <color rgb="FF000000"/>
            <rFont val="Tahoma"/>
            <family val="2"/>
          </rPr>
          <t xml:space="preserve">8 weeks: 109%        "
</t>
        </r>
        <r>
          <rPr>
            <sz val="10"/>
            <color rgb="FF000000"/>
            <rFont val="Tahoma"/>
            <family val="2"/>
          </rPr>
          <t>9 weeks: 108% of average</t>
        </r>
        <r>
          <rPr>
            <b/>
            <sz val="9"/>
            <color rgb="FF000000"/>
            <rFont val="Tahoma"/>
            <family val="2"/>
          </rPr>
          <t xml:space="preserve">
</t>
        </r>
      </text>
    </comment>
    <comment ref="D20" authorId="1" shapeId="0" xr:uid="{00000000-0006-0000-0100-000006000000}">
      <text>
        <r>
          <rPr>
            <sz val="10"/>
            <color rgb="FF000000"/>
            <rFont val="Tahoma"/>
            <family val="2"/>
          </rPr>
          <t>Suggest a 1.25 factor to accommodate the maximum number of calves born in any 3-week period in a herd that calves year-around. The 3-week period is related to a suggested maximum age range within a specific barn.</t>
        </r>
        <r>
          <rPr>
            <sz val="9"/>
            <color rgb="FF000000"/>
            <rFont val="Tahoma"/>
            <family val="2"/>
          </rPr>
          <t xml:space="preserve">
</t>
        </r>
      </text>
    </comment>
    <comment ref="E20" authorId="1" shapeId="0" xr:uid="{00000000-0006-0000-0100-000007000000}">
      <text>
        <r>
          <rPr>
            <sz val="10"/>
            <color rgb="FF000000"/>
            <rFont val="Tahoma"/>
            <family val="2"/>
          </rPr>
          <t>Recommend a 1.1 factor to accommodate the maximum number of calves entering the barn(s) during any 8-week period in a herd that calves year-around. Because each barn is filled before starting the next, the age range within the barn will vary, but the overall average age range will be as specified in cell C23.</t>
        </r>
      </text>
    </comment>
    <comment ref="F20" authorId="1" shapeId="0" xr:uid="{00000000-0006-0000-0100-000008000000}">
      <text>
        <r>
          <rPr>
            <sz val="10"/>
            <color rgb="FF000000"/>
            <rFont val="Tahoma"/>
            <family val="2"/>
          </rPr>
          <t>Recommend a 1.1 factor to accommodate the maximum number of calves entering the calf barn(s) during any 8-week period in a herd that calves year-around.</t>
        </r>
        <r>
          <rPr>
            <sz val="9"/>
            <color rgb="FF000000"/>
            <rFont val="Tahoma"/>
            <family val="2"/>
          </rPr>
          <t xml:space="preserve">
</t>
        </r>
      </text>
    </comment>
    <comment ref="C23" authorId="1" shapeId="0" xr:uid="{D123182C-1F89-4A9D-8BCA-8E1F88F8523D}">
      <text>
        <r>
          <rPr>
            <sz val="10"/>
            <color rgb="FF000000"/>
            <rFont val="Tahoma"/>
            <family val="34"/>
          </rPr>
          <t>Ideal is near 21 days. This value can be manipulated modestly to yield approximately whole numbers of individual barns in row 26.</t>
        </r>
      </text>
    </comment>
    <comment ref="B26" authorId="1" shapeId="0" xr:uid="{DBDDE004-C18A-4EA1-8D48-838EAF00E877}">
      <text>
        <r>
          <rPr>
            <sz val="10"/>
            <color rgb="FF000000"/>
            <rFont val="Tahoma"/>
            <family val="2"/>
          </rPr>
          <t>Use this cell if the barn has a fixed number of spaces or if you want to limit barn size to a certain number of spaces. Otherwise, leave the number the same as the number in row 24 based on your chosen management strategy or use this cell to tweak calf numbers in order to achieve whole-numbered barns.</t>
        </r>
        <r>
          <rPr>
            <sz val="9"/>
            <color rgb="FF000000"/>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Kenneth Nordlund</author>
  </authors>
  <commentList>
    <comment ref="G14" authorId="0" shapeId="0" xr:uid="{00000000-0006-0000-0000-000001000000}">
      <text>
        <r>
          <rPr>
            <sz val="10"/>
            <color rgb="FF000000"/>
            <rFont val="Tahoma"/>
            <family val="2"/>
          </rPr>
          <t>Actual morbidity is assumed to be twice the respiratory treatment rate</t>
        </r>
      </text>
    </comment>
    <comment ref="G22" authorId="0" shapeId="0" xr:uid="{00000000-0006-0000-0000-000002000000}">
      <text>
        <r>
          <rPr>
            <sz val="10"/>
            <color rgb="FF000000"/>
            <rFont val="Tahoma"/>
            <family val="2"/>
          </rPr>
          <t>Actual morbidity is assumed to be twice the respiratory treatment rate</t>
        </r>
      </text>
    </comment>
  </commentList>
</comments>
</file>

<file path=xl/sharedStrings.xml><?xml version="1.0" encoding="utf-8"?>
<sst xmlns="http://schemas.openxmlformats.org/spreadsheetml/2006/main" count="128" uniqueCount="106">
  <si>
    <t>Total adult cow herd size, including dry cows</t>
  </si>
  <si>
    <t>Multiplier to estimate # calvings/year</t>
  </si>
  <si>
    <t>Stillborns &lt;48 hr of calving, %</t>
  </si>
  <si>
    <t># live calves born per day</t>
  </si>
  <si>
    <t>Proportion of calves raised (heifers + reared males), %</t>
  </si>
  <si>
    <t>Days on milk</t>
  </si>
  <si>
    <t>Opt 1: AI-AO,      strict limit age range within barn</t>
  </si>
  <si>
    <t>Opt 2: AI-AO,           fill each barn before next is started</t>
  </si>
  <si>
    <t>Opt 3: Continuous    flow</t>
  </si>
  <si>
    <t>NA</t>
  </si>
  <si>
    <t>Minimum # individual barns to achieve limited age range</t>
  </si>
  <si>
    <t># days in individual pens prior to group housing</t>
  </si>
  <si>
    <t xml:space="preserve">  Herd Information</t>
  </si>
  <si>
    <t xml:space="preserve">  Nursery Barn Management</t>
  </si>
  <si>
    <t xml:space="preserve">  Number and capacity of individual nursery barns</t>
  </si>
  <si>
    <t># individual pens needed prior to grouping</t>
  </si>
  <si>
    <t>Adjustment factor to handle surges without overstocking</t>
  </si>
  <si>
    <t>by ultrasonography, on first-lactation milk production in Holstein dairy calves. Journal of dairy science, 101(6), pp.5404-5410.</t>
  </si>
  <si>
    <t>Net Annual Impact</t>
  </si>
  <si>
    <t>Subtotal:</t>
  </si>
  <si>
    <t>Annual cleaning costs between uses</t>
  </si>
  <si>
    <t>Reduced Rx for respiratory disease</t>
  </si>
  <si>
    <t>Added building cost per year</t>
  </si>
  <si>
    <t>Reduced Rx for enteric disease</t>
  </si>
  <si>
    <t>Amount ($)</t>
  </si>
  <si>
    <t>Items</t>
  </si>
  <si>
    <t>Increased Costs</t>
  </si>
  <si>
    <t>Decreased Costs</t>
  </si>
  <si>
    <t xml:space="preserve"> </t>
  </si>
  <si>
    <t>Future milk value (*50% IOFC)</t>
  </si>
  <si>
    <t>Value of additional calves</t>
  </si>
  <si>
    <t>Decreased Revenues</t>
  </si>
  <si>
    <t>Increased Revenues</t>
  </si>
  <si>
    <t>/year</t>
  </si>
  <si>
    <t>Annual AIAO barn repayment costs</t>
  </si>
  <si>
    <t>AIAO estimated morbidity for respiratory disease</t>
  </si>
  <si>
    <t>total</t>
  </si>
  <si>
    <t>Cost of "all-in, all-out" facilities and land</t>
  </si>
  <si>
    <t>AIAO treatment rate, respiratory</t>
  </si>
  <si>
    <t>acres</t>
  </si>
  <si>
    <t>Additonal land for AIAO barns</t>
  </si>
  <si>
    <t>AIAO treatment rate, enteric disease</t>
  </si>
  <si>
    <t>/acre</t>
  </si>
  <si>
    <t>Value of land per acre</t>
  </si>
  <si>
    <t>AIAO, overall mortality rate</t>
  </si>
  <si>
    <t>days</t>
  </si>
  <si>
    <t>All-in, all-out BARN CYCLE</t>
  </si>
  <si>
    <t>/cleaning</t>
  </si>
  <si>
    <t>Cleaning cost of barn per cycle</t>
  </si>
  <si>
    <t>spaces</t>
  </si>
  <si>
    <t>AI-AO nursery capacity per CYCLE</t>
  </si>
  <si>
    <t>Change Assumptions</t>
  </si>
  <si>
    <t>/cwt</t>
  </si>
  <si>
    <t>Milk price</t>
  </si>
  <si>
    <t>lb loss</t>
  </si>
  <si>
    <t>/yr</t>
  </si>
  <si>
    <t>Annual barn repayment cost</t>
  </si>
  <si>
    <t>Continuous-flow estimated morbidity, respiratory</t>
  </si>
  <si>
    <t>years</t>
  </si>
  <si>
    <t>Repayment period</t>
  </si>
  <si>
    <t>Continuous-flow treatment rate, respiratory</t>
  </si>
  <si>
    <t>APR</t>
  </si>
  <si>
    <t>Interest rate</t>
  </si>
  <si>
    <t>Continuous-flow treatment rate, enteric</t>
  </si>
  <si>
    <t>Continuous-flow BARN CYCLE</t>
  </si>
  <si>
    <t>Continuous-flow, overall mortality rate</t>
  </si>
  <si>
    <t>Cost of continuous flow nursery</t>
  </si>
  <si>
    <t>/case</t>
  </si>
  <si>
    <t>Cost per course of treatment, enteric</t>
  </si>
  <si>
    <t>per space</t>
  </si>
  <si>
    <t xml:space="preserve">Cost per stall or calf </t>
  </si>
  <si>
    <t>Cost per course of treatment, respiratory</t>
  </si>
  <si>
    <t>Continuous-flow nursery capacity per CYCLE</t>
  </si>
  <si>
    <t>/heifer</t>
  </si>
  <si>
    <t>Value of average pre-weaned heifer</t>
  </si>
  <si>
    <t>calves/year</t>
  </si>
  <si>
    <t>Number of calves entering nursery per year</t>
  </si>
  <si>
    <t>Units</t>
  </si>
  <si>
    <t>Number</t>
  </si>
  <si>
    <t>Baseline Assumptions</t>
  </si>
  <si>
    <t xml:space="preserve">                            Ken Nordlund, DVM, Terri Ollivett, DVM, and Courtney Halbach, MBA</t>
  </si>
  <si>
    <r>
      <t>Value of future milk losses per case ( x 50% IOFC)</t>
    </r>
    <r>
      <rPr>
        <vertAlign val="superscript"/>
        <sz val="11"/>
        <rFont val="Calibri"/>
        <family val="2"/>
        <scheme val="minor"/>
      </rPr>
      <t xml:space="preserve"> 2</t>
    </r>
  </si>
  <si>
    <r>
      <t xml:space="preserve">Effect of respiratory case on future yield </t>
    </r>
    <r>
      <rPr>
        <vertAlign val="superscript"/>
        <sz val="11"/>
        <rFont val="Calibri"/>
        <family val="2"/>
        <scheme val="minor"/>
      </rPr>
      <t>1</t>
    </r>
  </si>
  <si>
    <t xml:space="preserve">1.  Dunn, T.R., Ollivett, T.L., Renaud, D.L., Leslie, K.E., LeBlanc, S.J., Duffield, T.F. and Kelton, D.F., 2018. The effect of lung consolidation, as determined </t>
  </si>
  <si>
    <t xml:space="preserve">2.  Value of future milk is the milk price per cwt / 100 x the lbs of milk lost x 50%. In very general terms, feed cost is typically equal to about 50% of value of milk produced, and the </t>
  </si>
  <si>
    <t>remaining milk income can be used to pay for labor, other expenses, management, and housing.</t>
  </si>
  <si>
    <t>Calf Barn Sizing Calculator</t>
  </si>
  <si>
    <t xml:space="preserve">            Terri Ollivett, DVM, Ken Nordlund, DVM, Courtney Halbach, MBA</t>
  </si>
  <si>
    <t>Enter farm-specific numbers in the green cells</t>
  </si>
  <si>
    <t xml:space="preserve"> Partial Budget to Compare AI-AO to Continuous Flow Nurseries</t>
  </si>
  <si>
    <t>Cleaning &amp; down time between groups (days)</t>
  </si>
  <si>
    <t>Post-weaning acclimation delay (days)</t>
  </si>
  <si>
    <t>Total cycle days</t>
  </si>
  <si>
    <t>December 1, 2023</t>
  </si>
  <si>
    <r>
      <t xml:space="preserve">If alternative barn capacity is </t>
    </r>
    <r>
      <rPr>
        <b/>
        <i/>
        <sz val="11"/>
        <color theme="1"/>
        <rFont val="Calibri"/>
        <family val="2"/>
        <scheme val="minor"/>
      </rPr>
      <t>preferred</t>
    </r>
    <r>
      <rPr>
        <sz val="11"/>
        <color theme="1"/>
        <rFont val="Calibri"/>
        <family val="2"/>
        <scheme val="minor"/>
      </rPr>
      <t>, # calves per barn</t>
    </r>
  </si>
  <si>
    <r>
      <t xml:space="preserve"># of individual barns with </t>
    </r>
    <r>
      <rPr>
        <b/>
        <i/>
        <sz val="11"/>
        <color theme="1"/>
        <rFont val="Calibri"/>
        <family val="2"/>
        <scheme val="minor"/>
      </rPr>
      <t>preferred</t>
    </r>
    <r>
      <rPr>
        <sz val="11"/>
        <color theme="1"/>
        <rFont val="Calibri"/>
        <family val="2"/>
        <scheme val="minor"/>
      </rPr>
      <t xml:space="preserve"> barn capacity</t>
    </r>
  </si>
  <si>
    <t>Desired age range within barn (days)</t>
  </si>
  <si>
    <t xml:space="preserve">  If group pens, number of individual acclimation and group pens</t>
  </si>
  <si>
    <t>Average # calves in each barn to limit age range</t>
  </si>
  <si>
    <t>Average # calves entering nursery per day</t>
  </si>
  <si>
    <t>Average # calves born per nursery cycle</t>
  </si>
  <si>
    <t>Adjusted # of calves born per nursery cycle</t>
  </si>
  <si>
    <t>Total # group pens per nursery cycle</t>
  </si>
  <si>
    <t># of group pens per barn to achieve limited age range</t>
  </si>
  <si>
    <r>
      <t xml:space="preserve"># of group pens in barn based on </t>
    </r>
    <r>
      <rPr>
        <b/>
        <i/>
        <sz val="11"/>
        <color theme="1"/>
        <rFont val="Calibri"/>
        <family val="2"/>
        <scheme val="minor"/>
      </rPr>
      <t>preferred</t>
    </r>
    <r>
      <rPr>
        <sz val="11"/>
        <color theme="1"/>
        <rFont val="Calibri"/>
        <family val="2"/>
        <scheme val="minor"/>
      </rPr>
      <t xml:space="preserve"> barn capacity</t>
    </r>
  </si>
  <si>
    <t>Maximum # calves per group pen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</si>
</sst>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quot;$&quot;#,##0"/>
    <numFmt numFmtId="166" formatCode="&quot;$&quot;#,##0.0_);[Red]\(&quot;$&quot;#,##0.0\)"/>
    <numFmt numFmtId="167" formatCode="_(&quot;$&quot;* #,##0_);_(&quot;$&quot;* \(#,##0\);_(&quot;$&quot;* &quot;-&quot;??_);_(@_)"/>
    <numFmt numFmtId="168" formatCode="_(* #,##0_);_(* \(#,##0\);_(* &quot;-&quot;??_);_(@_)"/>
    <numFmt numFmtId="169" formatCode="0.0%"/>
    <numFmt numFmtId="170" formatCode="[$-409]mmmm\ d\,\ yyyy;@"/>
    <numFmt numFmtId="171" formatCode="_(* #,##0.0_);_(* \(#,##0.0\);_(* &quot;-&quot;??_);_(@_)"/>
  </numFmts>
  <fonts count="28" x14ac:knownFonts="1">
    <font>
      <sz val="11"/>
      <color theme="1"/>
      <name val="Calibri"/>
      <family val="2"/>
      <scheme val="minor"/>
    </font>
    <font>
      <sz val="12"/>
      <color theme="1"/>
      <name val="Calibri"/>
      <family val="2"/>
      <scheme val="minor"/>
    </font>
    <font>
      <b/>
      <sz val="11"/>
      <color theme="1"/>
      <name val="Calibri"/>
      <family val="2"/>
      <scheme val="minor"/>
    </font>
    <font>
      <b/>
      <sz val="14"/>
      <color theme="1"/>
      <name val="Calibri"/>
      <family val="2"/>
      <scheme val="minor"/>
    </font>
    <font>
      <b/>
      <sz val="18"/>
      <color theme="0"/>
      <name val="Calibri"/>
      <family val="2"/>
      <scheme val="minor"/>
    </font>
    <font>
      <sz val="12"/>
      <color theme="0"/>
      <name val="Calibri"/>
      <family val="2"/>
      <scheme val="minor"/>
    </font>
    <font>
      <b/>
      <i/>
      <sz val="11"/>
      <color theme="1"/>
      <name val="Calibri"/>
      <family val="2"/>
      <scheme val="minor"/>
    </font>
    <font>
      <sz val="10"/>
      <name val="Arial"/>
      <family val="2"/>
    </font>
    <font>
      <sz val="11"/>
      <name val="Calibri"/>
      <family val="2"/>
      <scheme val="minor"/>
    </font>
    <font>
      <sz val="10"/>
      <name val="Calibri"/>
      <family val="2"/>
      <scheme val="minor"/>
    </font>
    <font>
      <b/>
      <sz val="14"/>
      <color indexed="9"/>
      <name val="Calibri"/>
      <family val="2"/>
      <scheme val="minor"/>
    </font>
    <font>
      <b/>
      <sz val="14"/>
      <color theme="0"/>
      <name val="Calibri"/>
      <family val="2"/>
      <scheme val="minor"/>
    </font>
    <font>
      <b/>
      <sz val="12"/>
      <color indexed="9"/>
      <name val="Calibri"/>
      <family val="2"/>
      <scheme val="minor"/>
    </font>
    <font>
      <sz val="12"/>
      <name val="Calibri"/>
      <family val="2"/>
      <scheme val="minor"/>
    </font>
    <font>
      <sz val="14"/>
      <name val="Calibri"/>
      <family val="2"/>
      <scheme val="minor"/>
    </font>
    <font>
      <b/>
      <u/>
      <sz val="12"/>
      <color indexed="9"/>
      <name val="Calibri"/>
      <family val="2"/>
      <scheme val="minor"/>
    </font>
    <font>
      <sz val="10"/>
      <name val="Arial"/>
      <family val="2"/>
    </font>
    <font>
      <b/>
      <sz val="14"/>
      <name val="Calibri"/>
      <family val="2"/>
      <scheme val="minor"/>
    </font>
    <font>
      <b/>
      <sz val="11"/>
      <name val="Arial"/>
      <family val="2"/>
    </font>
    <font>
      <vertAlign val="superscript"/>
      <sz val="11"/>
      <name val="Calibri"/>
      <family val="2"/>
      <scheme val="minor"/>
    </font>
    <font>
      <sz val="10"/>
      <color rgb="FF000000"/>
      <name val="Tahoma"/>
      <family val="2"/>
    </font>
    <font>
      <sz val="9"/>
      <color rgb="FF000000"/>
      <name val="Tahoma"/>
      <family val="2"/>
    </font>
    <font>
      <sz val="11"/>
      <color theme="1"/>
      <name val="Calibri"/>
      <family val="2"/>
      <scheme val="minor"/>
    </font>
    <font>
      <b/>
      <sz val="9"/>
      <color rgb="FF000000"/>
      <name val="Tahoma"/>
      <family val="2"/>
    </font>
    <font>
      <sz val="11"/>
      <color theme="0"/>
      <name val="Calibri"/>
      <family val="2"/>
      <scheme val="minor"/>
    </font>
    <font>
      <sz val="14"/>
      <color theme="0"/>
      <name val="Calibri"/>
      <family val="2"/>
      <scheme val="minor"/>
    </font>
    <font>
      <sz val="13"/>
      <color theme="0"/>
      <name val="Calibri"/>
      <family val="2"/>
      <scheme val="minor"/>
    </font>
    <font>
      <sz val="10"/>
      <color rgb="FF000000"/>
      <name val="Tahoma"/>
      <family val="34"/>
    </font>
  </fonts>
  <fills count="15">
    <fill>
      <patternFill patternType="none"/>
    </fill>
    <fill>
      <patternFill patternType="gray125"/>
    </fill>
    <fill>
      <patternFill patternType="solid">
        <fgColor rgb="FFFFC000"/>
        <bgColor indexed="64"/>
      </patternFill>
    </fill>
    <fill>
      <patternFill patternType="solid">
        <fgColor theme="1" tint="0.34998626667073579"/>
        <bgColor indexed="64"/>
      </patternFill>
    </fill>
    <fill>
      <patternFill patternType="solid">
        <fgColor indexed="9"/>
        <bgColor indexed="64"/>
      </patternFill>
    </fill>
    <fill>
      <patternFill patternType="solid">
        <fgColor indexed="22"/>
        <bgColor indexed="64"/>
      </patternFill>
    </fill>
    <fill>
      <patternFill patternType="solid">
        <fgColor rgb="FFB31105"/>
        <bgColor indexed="64"/>
      </patternFill>
    </fill>
    <fill>
      <patternFill patternType="solid">
        <fgColor indexed="17"/>
        <bgColor indexed="64"/>
      </patternFill>
    </fill>
    <fill>
      <patternFill patternType="solid">
        <fgColor theme="0" tint="-0.14999847407452621"/>
        <bgColor indexed="64"/>
      </patternFill>
    </fill>
    <fill>
      <patternFill patternType="solid">
        <fgColor rgb="FF29654D"/>
        <bgColor indexed="64"/>
      </patternFill>
    </fill>
    <fill>
      <patternFill patternType="solid">
        <fgColor rgb="FFDDEBF6"/>
        <bgColor indexed="64"/>
      </patternFill>
    </fill>
    <fill>
      <patternFill patternType="solid">
        <fgColor rgb="FF204A7B"/>
        <bgColor indexed="64"/>
      </patternFill>
    </fill>
    <fill>
      <patternFill patternType="solid">
        <fgColor rgb="FFF7C575"/>
        <bgColor indexed="64"/>
      </patternFill>
    </fill>
    <fill>
      <patternFill patternType="solid">
        <fgColor rgb="FFD1E5D2"/>
        <bgColor indexed="64"/>
      </patternFill>
    </fill>
    <fill>
      <patternFill patternType="solid">
        <fgColor rgb="FFFFFAF0"/>
        <bgColor indexed="64"/>
      </patternFill>
    </fill>
  </fills>
  <borders count="4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auto="1"/>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top/>
      <bottom style="thin">
        <color indexed="64"/>
      </bottom>
      <diagonal/>
    </border>
    <border>
      <left style="medium">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auto="1"/>
      </bottom>
      <diagonal/>
    </border>
    <border>
      <left/>
      <right/>
      <top style="thin">
        <color indexed="64"/>
      </top>
      <bottom style="thin">
        <color indexed="64"/>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right style="medium">
        <color indexed="64"/>
      </right>
      <top style="dashed">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dashed">
        <color indexed="64"/>
      </top>
      <bottom/>
      <diagonal/>
    </border>
    <border>
      <left style="thin">
        <color indexed="64"/>
      </left>
      <right style="thin">
        <color indexed="64"/>
      </right>
      <top style="dashed">
        <color indexed="64"/>
      </top>
      <bottom style="thin">
        <color indexed="64"/>
      </bottom>
      <diagonal/>
    </border>
  </borders>
  <cellStyleXfs count="6">
    <xf numFmtId="0" fontId="0" fillId="0" borderId="0"/>
    <xf numFmtId="0" fontId="7" fillId="0" borderId="0"/>
    <xf numFmtId="44" fontId="16"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9" fontId="22" fillId="0" borderId="0" applyFont="0" applyFill="0" applyBorder="0" applyAlignment="0" applyProtection="0"/>
  </cellStyleXfs>
  <cellXfs count="183">
    <xf numFmtId="0" fontId="0" fillId="0" borderId="0" xfId="0"/>
    <xf numFmtId="0" fontId="2" fillId="0" borderId="0" xfId="0" applyFont="1" applyAlignment="1">
      <alignment horizontal="center" vertical="top" wrapText="1"/>
    </xf>
    <xf numFmtId="0" fontId="7" fillId="0" borderId="0" xfId="1"/>
    <xf numFmtId="0" fontId="8" fillId="0" borderId="0" xfId="1" applyFont="1"/>
    <xf numFmtId="0" fontId="0" fillId="10" borderId="0" xfId="0" applyFill="1"/>
    <xf numFmtId="0" fontId="0" fillId="11" borderId="1" xfId="0" applyFill="1" applyBorder="1"/>
    <xf numFmtId="0" fontId="0" fillId="11" borderId="2" xfId="0" applyFill="1" applyBorder="1"/>
    <xf numFmtId="0" fontId="0" fillId="11" borderId="3" xfId="0" applyFill="1" applyBorder="1"/>
    <xf numFmtId="0" fontId="4" fillId="11" borderId="4" xfId="0" applyFont="1" applyFill="1" applyBorder="1" applyAlignment="1">
      <alignment horizontal="center"/>
    </xf>
    <xf numFmtId="0" fontId="0" fillId="11" borderId="0" xfId="0" applyFill="1"/>
    <xf numFmtId="0" fontId="0" fillId="11" borderId="5" xfId="0" applyFill="1" applyBorder="1"/>
    <xf numFmtId="49" fontId="5" fillId="11" borderId="4" xfId="0" applyNumberFormat="1" applyFont="1" applyFill="1" applyBorder="1" applyAlignment="1">
      <alignment horizontal="center"/>
    </xf>
    <xf numFmtId="0" fontId="0" fillId="11" borderId="6" xfId="0" applyFill="1" applyBorder="1"/>
    <xf numFmtId="0" fontId="0" fillId="11" borderId="7" xfId="0" applyFill="1" applyBorder="1"/>
    <xf numFmtId="0" fontId="0" fillId="11" borderId="8" xfId="0" applyFill="1" applyBorder="1"/>
    <xf numFmtId="0" fontId="3" fillId="12" borderId="9" xfId="0" applyFont="1" applyFill="1" applyBorder="1" applyAlignment="1">
      <alignment vertical="center"/>
    </xf>
    <xf numFmtId="0" fontId="0" fillId="12" borderId="10" xfId="0" applyFill="1" applyBorder="1"/>
    <xf numFmtId="0" fontId="0" fillId="12" borderId="11" xfId="0" applyFill="1" applyBorder="1"/>
    <xf numFmtId="0" fontId="3" fillId="12" borderId="9" xfId="0" applyFont="1" applyFill="1" applyBorder="1" applyAlignment="1">
      <alignment horizontal="left" vertical="center"/>
    </xf>
    <xf numFmtId="0" fontId="0" fillId="12" borderId="24" xfId="0" applyFill="1" applyBorder="1"/>
    <xf numFmtId="0" fontId="2" fillId="12" borderId="15" xfId="0" applyFont="1" applyFill="1" applyBorder="1" applyAlignment="1">
      <alignment horizontal="center" vertical="top" wrapText="1"/>
    </xf>
    <xf numFmtId="0" fontId="2" fillId="12" borderId="11" xfId="0" applyFont="1" applyFill="1" applyBorder="1" applyAlignment="1">
      <alignment horizontal="center" vertical="top" wrapText="1"/>
    </xf>
    <xf numFmtId="0" fontId="0" fillId="14" borderId="1" xfId="0" applyFill="1" applyBorder="1"/>
    <xf numFmtId="0" fontId="0" fillId="14" borderId="4" xfId="0" applyFill="1" applyBorder="1"/>
    <xf numFmtId="164" fontId="0" fillId="14" borderId="12" xfId="0" applyNumberFormat="1" applyFill="1" applyBorder="1"/>
    <xf numFmtId="164" fontId="0" fillId="14" borderId="14" xfId="0" applyNumberFormat="1" applyFill="1" applyBorder="1"/>
    <xf numFmtId="0" fontId="0" fillId="14" borderId="18" xfId="0" applyFill="1" applyBorder="1"/>
    <xf numFmtId="0" fontId="0" fillId="14" borderId="2" xfId="0" applyFill="1" applyBorder="1"/>
    <xf numFmtId="0" fontId="0" fillId="14" borderId="3" xfId="0" applyFill="1" applyBorder="1"/>
    <xf numFmtId="0" fontId="0" fillId="14" borderId="0" xfId="0" applyFill="1"/>
    <xf numFmtId="0" fontId="0" fillId="14" borderId="5" xfId="0" applyFill="1" applyBorder="1"/>
    <xf numFmtId="0" fontId="0" fillId="14" borderId="6" xfId="0" applyFill="1" applyBorder="1"/>
    <xf numFmtId="0" fontId="0" fillId="14" borderId="17" xfId="0" applyFill="1" applyBorder="1"/>
    <xf numFmtId="3" fontId="0" fillId="14" borderId="7" xfId="0" applyNumberFormat="1" applyFill="1" applyBorder="1"/>
    <xf numFmtId="3" fontId="0" fillId="14" borderId="18" xfId="0" applyNumberFormat="1" applyFill="1" applyBorder="1"/>
    <xf numFmtId="3" fontId="0" fillId="14" borderId="8" xfId="0" applyNumberFormat="1" applyFill="1" applyBorder="1"/>
    <xf numFmtId="0" fontId="0" fillId="14" borderId="16" xfId="0" applyFill="1" applyBorder="1"/>
    <xf numFmtId="0" fontId="0" fillId="14" borderId="5" xfId="0" applyFill="1" applyBorder="1" applyAlignment="1">
      <alignment horizontal="center"/>
    </xf>
    <xf numFmtId="3" fontId="0" fillId="14" borderId="17" xfId="0" applyNumberFormat="1" applyFill="1" applyBorder="1"/>
    <xf numFmtId="3" fontId="0" fillId="14" borderId="5" xfId="0" applyNumberFormat="1" applyFill="1" applyBorder="1"/>
    <xf numFmtId="164" fontId="0" fillId="14" borderId="18" xfId="0" applyNumberFormat="1" applyFill="1" applyBorder="1"/>
    <xf numFmtId="164" fontId="0" fillId="14" borderId="8" xfId="0" applyNumberFormat="1" applyFill="1" applyBorder="1"/>
    <xf numFmtId="0" fontId="24" fillId="0" borderId="0" xfId="0" applyFont="1"/>
    <xf numFmtId="0" fontId="1" fillId="0" borderId="0" xfId="0" applyFont="1"/>
    <xf numFmtId="0" fontId="1" fillId="0" borderId="0" xfId="0" applyFont="1" applyAlignment="1">
      <alignment wrapText="1"/>
    </xf>
    <xf numFmtId="0" fontId="4" fillId="0" borderId="0" xfId="0" applyFont="1" applyAlignment="1">
      <alignment horizontal="center"/>
    </xf>
    <xf numFmtId="170" fontId="25" fillId="0" borderId="0" xfId="0" applyNumberFormat="1" applyFont="1" applyAlignment="1">
      <alignment horizontal="center"/>
    </xf>
    <xf numFmtId="0" fontId="26" fillId="0" borderId="0" xfId="0" applyFont="1" applyAlignment="1">
      <alignment horizontal="center"/>
    </xf>
    <xf numFmtId="0" fontId="5" fillId="0" borderId="0" xfId="0" applyFont="1"/>
    <xf numFmtId="0" fontId="3" fillId="0" borderId="0" xfId="0" applyFont="1"/>
    <xf numFmtId="0" fontId="1" fillId="0" borderId="0" xfId="0" applyFont="1" applyAlignment="1">
      <alignment horizontal="left"/>
    </xf>
    <xf numFmtId="0" fontId="1" fillId="0" borderId="0" xfId="4" applyNumberFormat="1" applyFont="1" applyFill="1" applyBorder="1" applyProtection="1">
      <protection locked="0"/>
    </xf>
    <xf numFmtId="9" fontId="1" fillId="0" borderId="0" xfId="5" applyFont="1" applyFill="1" applyBorder="1" applyProtection="1">
      <protection locked="0"/>
    </xf>
    <xf numFmtId="164" fontId="1" fillId="0" borderId="0" xfId="0" applyNumberFormat="1" applyFont="1"/>
    <xf numFmtId="164" fontId="0" fillId="14" borderId="19" xfId="0" applyNumberFormat="1" applyFill="1" applyBorder="1"/>
    <xf numFmtId="1" fontId="0" fillId="13" borderId="13" xfId="0" applyNumberFormat="1" applyFill="1" applyBorder="1" applyProtection="1">
      <protection locked="0"/>
    </xf>
    <xf numFmtId="9" fontId="0" fillId="13" borderId="12" xfId="0" applyNumberFormat="1" applyFill="1" applyBorder="1" applyProtection="1">
      <protection locked="0"/>
    </xf>
    <xf numFmtId="0" fontId="0" fillId="13" borderId="16" xfId="0" applyFill="1" applyBorder="1" applyProtection="1">
      <protection locked="0"/>
    </xf>
    <xf numFmtId="0" fontId="0" fillId="13" borderId="12" xfId="0" applyFill="1" applyBorder="1" applyProtection="1">
      <protection locked="0"/>
    </xf>
    <xf numFmtId="0" fontId="0" fillId="13" borderId="19" xfId="0" applyFill="1" applyBorder="1" applyProtection="1">
      <protection locked="0"/>
    </xf>
    <xf numFmtId="0" fontId="0" fillId="13" borderId="20" xfId="0" applyFill="1" applyBorder="1" applyProtection="1">
      <protection locked="0"/>
    </xf>
    <xf numFmtId="1" fontId="0" fillId="13" borderId="22" xfId="0" applyNumberFormat="1" applyFill="1" applyBorder="1" applyProtection="1">
      <protection locked="0"/>
    </xf>
    <xf numFmtId="0" fontId="9" fillId="0" borderId="0" xfId="1" applyFont="1"/>
    <xf numFmtId="0" fontId="9" fillId="9" borderId="1" xfId="1" applyFont="1" applyFill="1" applyBorder="1"/>
    <xf numFmtId="0" fontId="9" fillId="9" borderId="2" xfId="1" applyFont="1" applyFill="1" applyBorder="1"/>
    <xf numFmtId="0" fontId="9" fillId="9" borderId="3" xfId="1" applyFont="1" applyFill="1" applyBorder="1"/>
    <xf numFmtId="0" fontId="4" fillId="9" borderId="4" xfId="1" applyFont="1" applyFill="1" applyBorder="1"/>
    <xf numFmtId="0" fontId="9" fillId="9" borderId="0" xfId="1" applyFont="1" applyFill="1"/>
    <xf numFmtId="0" fontId="9" fillId="9" borderId="5" xfId="1" applyFont="1" applyFill="1" applyBorder="1"/>
    <xf numFmtId="170" fontId="5" fillId="9" borderId="4" xfId="1" applyNumberFormat="1" applyFont="1" applyFill="1" applyBorder="1"/>
    <xf numFmtId="0" fontId="5" fillId="9" borderId="4" xfId="1" applyFont="1" applyFill="1" applyBorder="1"/>
    <xf numFmtId="0" fontId="9" fillId="9" borderId="6" xfId="1" applyFont="1" applyFill="1" applyBorder="1"/>
    <xf numFmtId="0" fontId="9" fillId="9" borderId="7" xfId="1" applyFont="1" applyFill="1" applyBorder="1"/>
    <xf numFmtId="0" fontId="9" fillId="9" borderId="8" xfId="1" applyFont="1" applyFill="1" applyBorder="1"/>
    <xf numFmtId="0" fontId="18" fillId="0" borderId="0" xfId="1" applyFont="1"/>
    <xf numFmtId="0" fontId="17" fillId="2" borderId="9" xfId="1" applyFont="1" applyFill="1" applyBorder="1" applyAlignment="1">
      <alignment vertical="center"/>
    </xf>
    <xf numFmtId="0" fontId="17" fillId="2" borderId="10" xfId="1" applyFont="1" applyFill="1" applyBorder="1" applyAlignment="1">
      <alignment vertical="center"/>
    </xf>
    <xf numFmtId="0" fontId="17" fillId="2" borderId="11" xfId="1" applyFont="1" applyFill="1" applyBorder="1" applyAlignment="1">
      <alignment vertical="center"/>
    </xf>
    <xf numFmtId="0" fontId="8" fillId="0" borderId="1" xfId="1" applyFont="1" applyBorder="1"/>
    <xf numFmtId="1" fontId="8" fillId="0" borderId="38" xfId="1" applyNumberFormat="1" applyFont="1" applyBorder="1"/>
    <xf numFmtId="0" fontId="8" fillId="0" borderId="37" xfId="1" applyFont="1" applyBorder="1"/>
    <xf numFmtId="0" fontId="8" fillId="0" borderId="2" xfId="1" applyFont="1" applyBorder="1"/>
    <xf numFmtId="0" fontId="8" fillId="0" borderId="17" xfId="1" applyFont="1" applyBorder="1"/>
    <xf numFmtId="0" fontId="8" fillId="0" borderId="5" xfId="1" quotePrefix="1" applyFont="1" applyBorder="1"/>
    <xf numFmtId="0" fontId="8" fillId="0" borderId="4" xfId="1" applyFont="1" applyBorder="1"/>
    <xf numFmtId="1" fontId="8" fillId="0" borderId="36" xfId="1" applyNumberFormat="1" applyFont="1" applyBorder="1"/>
    <xf numFmtId="0" fontId="8" fillId="0" borderId="30" xfId="1" applyFont="1" applyBorder="1"/>
    <xf numFmtId="5" fontId="8" fillId="0" borderId="36" xfId="3" applyNumberFormat="1" applyFont="1" applyFill="1" applyBorder="1" applyProtection="1"/>
    <xf numFmtId="0" fontId="9" fillId="0" borderId="5" xfId="1" applyFont="1" applyBorder="1"/>
    <xf numFmtId="168" fontId="8" fillId="0" borderId="36" xfId="3" applyNumberFormat="1" applyFont="1" applyFill="1" applyBorder="1" applyProtection="1"/>
    <xf numFmtId="0" fontId="8" fillId="0" borderId="5" xfId="1" applyFont="1" applyBorder="1"/>
    <xf numFmtId="9" fontId="8" fillId="0" borderId="0" xfId="1" applyNumberFormat="1" applyFont="1"/>
    <xf numFmtId="6" fontId="8" fillId="0" borderId="36" xfId="1" applyNumberFormat="1" applyFont="1" applyBorder="1"/>
    <xf numFmtId="0" fontId="8" fillId="0" borderId="6" xfId="1" applyFont="1" applyBorder="1"/>
    <xf numFmtId="0" fontId="8" fillId="0" borderId="27" xfId="1" applyFont="1" applyBorder="1"/>
    <xf numFmtId="8" fontId="8" fillId="0" borderId="0" xfId="1" applyNumberFormat="1" applyFont="1"/>
    <xf numFmtId="8" fontId="9" fillId="0" borderId="0" xfId="1" applyNumberFormat="1" applyFont="1"/>
    <xf numFmtId="167" fontId="8" fillId="0" borderId="36" xfId="2" applyNumberFormat="1" applyFont="1" applyFill="1" applyBorder="1" applyProtection="1"/>
    <xf numFmtId="0" fontId="9" fillId="0" borderId="18" xfId="1" applyFont="1" applyBorder="1"/>
    <xf numFmtId="0" fontId="10" fillId="7" borderId="1" xfId="1" applyFont="1" applyFill="1" applyBorder="1"/>
    <xf numFmtId="0" fontId="10" fillId="7" borderId="2" xfId="1" applyFont="1" applyFill="1" applyBorder="1"/>
    <xf numFmtId="0" fontId="10" fillId="7" borderId="3" xfId="1" applyFont="1" applyFill="1" applyBorder="1"/>
    <xf numFmtId="0" fontId="14" fillId="0" borderId="0" xfId="1" applyFont="1"/>
    <xf numFmtId="0" fontId="10" fillId="6" borderId="1" xfId="1" applyFont="1" applyFill="1" applyBorder="1"/>
    <xf numFmtId="0" fontId="10" fillId="6" borderId="2" xfId="1" applyFont="1" applyFill="1" applyBorder="1"/>
    <xf numFmtId="4" fontId="10" fillId="6" borderId="3" xfId="1" applyNumberFormat="1" applyFont="1" applyFill="1" applyBorder="1"/>
    <xf numFmtId="0" fontId="12" fillId="7" borderId="4" xfId="1" applyFont="1" applyFill="1" applyBorder="1" applyAlignment="1">
      <alignment horizontal="center"/>
    </xf>
    <xf numFmtId="0" fontId="12" fillId="7" borderId="0" xfId="1" applyFont="1" applyFill="1" applyAlignment="1">
      <alignment horizontal="center"/>
    </xf>
    <xf numFmtId="0" fontId="12" fillId="7" borderId="5" xfId="1" applyFont="1" applyFill="1" applyBorder="1" applyAlignment="1">
      <alignment horizontal="center"/>
    </xf>
    <xf numFmtId="0" fontId="13" fillId="0" borderId="0" xfId="1" applyFont="1"/>
    <xf numFmtId="0" fontId="12" fillId="6" borderId="4" xfId="1" applyFont="1" applyFill="1" applyBorder="1" applyAlignment="1">
      <alignment horizontal="center"/>
    </xf>
    <xf numFmtId="0" fontId="12" fillId="6" borderId="0" xfId="1" applyFont="1" applyFill="1" applyAlignment="1">
      <alignment horizontal="center"/>
    </xf>
    <xf numFmtId="4" fontId="15" fillId="6" borderId="5" xfId="1" applyNumberFormat="1" applyFont="1" applyFill="1" applyBorder="1" applyAlignment="1">
      <alignment horizontal="center"/>
    </xf>
    <xf numFmtId="0" fontId="8" fillId="4" borderId="32" xfId="1" applyFont="1" applyFill="1" applyBorder="1"/>
    <xf numFmtId="3" fontId="8" fillId="4" borderId="35" xfId="1" applyNumberFormat="1" applyFont="1" applyFill="1" applyBorder="1"/>
    <xf numFmtId="3" fontId="8" fillId="5" borderId="21" xfId="1" applyNumberFormat="1" applyFont="1" applyFill="1" applyBorder="1"/>
    <xf numFmtId="3" fontId="8" fillId="4" borderId="14" xfId="1" applyNumberFormat="1" applyFont="1" applyFill="1" applyBorder="1"/>
    <xf numFmtId="3" fontId="8" fillId="5" borderId="31" xfId="1" applyNumberFormat="1" applyFont="1" applyFill="1" applyBorder="1"/>
    <xf numFmtId="0" fontId="8" fillId="4" borderId="29" xfId="1" applyFont="1" applyFill="1" applyBorder="1"/>
    <xf numFmtId="3" fontId="8" fillId="4" borderId="30" xfId="1" applyNumberFormat="1" applyFont="1" applyFill="1" applyBorder="1"/>
    <xf numFmtId="3" fontId="8" fillId="5" borderId="5" xfId="1" applyNumberFormat="1" applyFont="1" applyFill="1" applyBorder="1"/>
    <xf numFmtId="3" fontId="8" fillId="4" borderId="17" xfId="1" applyNumberFormat="1" applyFont="1" applyFill="1" applyBorder="1"/>
    <xf numFmtId="3" fontId="8" fillId="5" borderId="28" xfId="1" applyNumberFormat="1" applyFont="1" applyFill="1" applyBorder="1"/>
    <xf numFmtId="0" fontId="8" fillId="4" borderId="9" xfId="1" applyFont="1" applyFill="1" applyBorder="1"/>
    <xf numFmtId="3" fontId="8" fillId="4" borderId="0" xfId="1" applyNumberFormat="1" applyFont="1" applyFill="1"/>
    <xf numFmtId="4" fontId="10" fillId="7" borderId="2" xfId="1" applyNumberFormat="1" applyFont="1" applyFill="1" applyBorder="1"/>
    <xf numFmtId="4" fontId="10" fillId="7" borderId="3" xfId="1" applyNumberFormat="1" applyFont="1" applyFill="1" applyBorder="1"/>
    <xf numFmtId="4" fontId="10" fillId="6" borderId="2" xfId="1" applyNumberFormat="1" applyFont="1" applyFill="1" applyBorder="1"/>
    <xf numFmtId="0" fontId="12" fillId="7" borderId="34" xfId="1" applyFont="1" applyFill="1" applyBorder="1" applyAlignment="1">
      <alignment horizontal="center"/>
    </xf>
    <xf numFmtId="4" fontId="12" fillId="7" borderId="33" xfId="1" applyNumberFormat="1" applyFont="1" applyFill="1" applyBorder="1" applyAlignment="1">
      <alignment horizontal="center"/>
    </xf>
    <xf numFmtId="4" fontId="12" fillId="7" borderId="23" xfId="1" applyNumberFormat="1" applyFont="1" applyFill="1" applyBorder="1" applyAlignment="1">
      <alignment horizontal="center"/>
    </xf>
    <xf numFmtId="0" fontId="13" fillId="0" borderId="0" xfId="1" applyFont="1" applyAlignment="1">
      <alignment horizontal="center"/>
    </xf>
    <xf numFmtId="0" fontId="12" fillId="6" borderId="34" xfId="1" applyFont="1" applyFill="1" applyBorder="1" applyAlignment="1">
      <alignment horizontal="center"/>
    </xf>
    <xf numFmtId="4" fontId="12" fillId="6" borderId="33" xfId="1" applyNumberFormat="1" applyFont="1" applyFill="1" applyBorder="1" applyAlignment="1">
      <alignment horizontal="center"/>
    </xf>
    <xf numFmtId="4" fontId="12" fillId="6" borderId="23" xfId="1" applyNumberFormat="1" applyFont="1" applyFill="1" applyBorder="1" applyAlignment="1">
      <alignment horizontal="center"/>
    </xf>
    <xf numFmtId="166" fontId="8" fillId="0" borderId="0" xfId="1" applyNumberFormat="1" applyFont="1"/>
    <xf numFmtId="3" fontId="8" fillId="4" borderId="26" xfId="1" applyNumberFormat="1" applyFont="1" applyFill="1" applyBorder="1"/>
    <xf numFmtId="3" fontId="8" fillId="0" borderId="27" xfId="1" applyNumberFormat="1" applyFont="1" applyBorder="1"/>
    <xf numFmtId="0" fontId="11" fillId="3" borderId="9" xfId="1" applyFont="1" applyFill="1" applyBorder="1"/>
    <xf numFmtId="0" fontId="10" fillId="3" borderId="10" xfId="1" applyFont="1" applyFill="1" applyBorder="1" applyAlignment="1">
      <alignment horizontal="right"/>
    </xf>
    <xf numFmtId="165" fontId="10" fillId="3" borderId="11" xfId="1" applyNumberFormat="1" applyFont="1" applyFill="1" applyBorder="1"/>
    <xf numFmtId="0" fontId="9" fillId="0" borderId="25" xfId="1" applyFont="1" applyBorder="1"/>
    <xf numFmtId="4" fontId="9" fillId="0" borderId="0" xfId="1" applyNumberFormat="1" applyFont="1"/>
    <xf numFmtId="165" fontId="8" fillId="8" borderId="36" xfId="1" applyNumberFormat="1" applyFont="1" applyFill="1" applyBorder="1" applyProtection="1">
      <protection locked="0"/>
    </xf>
    <xf numFmtId="169" fontId="8" fillId="8" borderId="36" xfId="1" applyNumberFormat="1" applyFont="1" applyFill="1" applyBorder="1" applyProtection="1">
      <protection locked="0"/>
    </xf>
    <xf numFmtId="1" fontId="8" fillId="8" borderId="36" xfId="1" applyNumberFormat="1" applyFont="1" applyFill="1" applyBorder="1" applyProtection="1">
      <protection locked="0"/>
    </xf>
    <xf numFmtId="8" fontId="8" fillId="8" borderId="39" xfId="1" applyNumberFormat="1" applyFont="1" applyFill="1" applyBorder="1" applyProtection="1">
      <protection locked="0"/>
    </xf>
    <xf numFmtId="167" fontId="8" fillId="8" borderId="36" xfId="2" applyNumberFormat="1" applyFont="1" applyFill="1" applyBorder="1" applyProtection="1">
      <protection locked="0"/>
    </xf>
    <xf numFmtId="171" fontId="8" fillId="8" borderId="36" xfId="3" applyNumberFormat="1" applyFont="1" applyFill="1" applyBorder="1" applyProtection="1">
      <protection locked="0"/>
    </xf>
    <xf numFmtId="167" fontId="8" fillId="8" borderId="0" xfId="2" applyNumberFormat="1" applyFont="1" applyFill="1" applyBorder="1" applyProtection="1">
      <protection locked="0"/>
    </xf>
    <xf numFmtId="9" fontId="8" fillId="8" borderId="0" xfId="1" applyNumberFormat="1" applyFont="1" applyFill="1" applyProtection="1">
      <protection locked="0"/>
    </xf>
    <xf numFmtId="0" fontId="5" fillId="11" borderId="4" xfId="0" applyFont="1" applyFill="1" applyBorder="1" applyAlignment="1">
      <alignment horizontal="center"/>
    </xf>
    <xf numFmtId="0" fontId="0" fillId="10" borderId="5" xfId="0" applyFill="1" applyBorder="1"/>
    <xf numFmtId="3" fontId="0" fillId="14" borderId="0" xfId="0" applyNumberFormat="1" applyFill="1"/>
    <xf numFmtId="164" fontId="0" fillId="14" borderId="5" xfId="0" applyNumberFormat="1" applyFill="1" applyBorder="1"/>
    <xf numFmtId="164" fontId="0" fillId="14" borderId="7" xfId="0" applyNumberFormat="1" applyFill="1" applyBorder="1"/>
    <xf numFmtId="1" fontId="0" fillId="14" borderId="0" xfId="0" applyNumberFormat="1" applyFill="1"/>
    <xf numFmtId="0" fontId="0" fillId="14" borderId="6" xfId="0" applyFill="1" applyBorder="1" applyAlignment="1">
      <alignment wrapText="1"/>
    </xf>
    <xf numFmtId="1" fontId="0" fillId="14" borderId="17" xfId="0" applyNumberFormat="1" applyFill="1" applyBorder="1" applyAlignment="1">
      <alignment horizontal="right"/>
    </xf>
    <xf numFmtId="1" fontId="0" fillId="14" borderId="28" xfId="0" applyNumberFormat="1" applyFill="1" applyBorder="1" applyAlignment="1">
      <alignment horizontal="right"/>
    </xf>
    <xf numFmtId="164" fontId="0" fillId="14" borderId="2" xfId="0" applyNumberFormat="1" applyFill="1" applyBorder="1" applyAlignment="1">
      <alignment horizontal="center"/>
    </xf>
    <xf numFmtId="164" fontId="0" fillId="14" borderId="16" xfId="0" applyNumberFormat="1" applyFill="1" applyBorder="1" applyAlignment="1">
      <alignment horizontal="center"/>
    </xf>
    <xf numFmtId="164" fontId="0" fillId="14" borderId="3" xfId="0" applyNumberFormat="1" applyFill="1" applyBorder="1" applyAlignment="1">
      <alignment horizontal="center"/>
    </xf>
    <xf numFmtId="164" fontId="0" fillId="14" borderId="17" xfId="0" applyNumberFormat="1" applyFill="1" applyBorder="1"/>
    <xf numFmtId="0" fontId="0" fillId="12" borderId="2" xfId="0" applyFill="1" applyBorder="1"/>
    <xf numFmtId="0" fontId="0" fillId="14" borderId="41" xfId="0" applyFill="1" applyBorder="1"/>
    <xf numFmtId="0" fontId="0" fillId="14" borderId="42" xfId="0" applyFill="1" applyBorder="1"/>
    <xf numFmtId="1" fontId="0" fillId="14" borderId="43" xfId="0" applyNumberFormat="1" applyFill="1" applyBorder="1"/>
    <xf numFmtId="1" fontId="0" fillId="14" borderId="30" xfId="0" applyNumberFormat="1" applyFill="1" applyBorder="1"/>
    <xf numFmtId="1" fontId="0" fillId="14" borderId="28" xfId="0" applyNumberFormat="1" applyFill="1" applyBorder="1"/>
    <xf numFmtId="0" fontId="0" fillId="14" borderId="12" xfId="0" applyFill="1" applyBorder="1"/>
    <xf numFmtId="0" fontId="0" fillId="14" borderId="14" xfId="0" applyFill="1" applyBorder="1"/>
    <xf numFmtId="0" fontId="0" fillId="14" borderId="30" xfId="0" applyFill="1" applyBorder="1"/>
    <xf numFmtId="0" fontId="0" fillId="14" borderId="28" xfId="0" applyFill="1" applyBorder="1"/>
    <xf numFmtId="164" fontId="0" fillId="14" borderId="28" xfId="0" applyNumberFormat="1" applyFill="1" applyBorder="1"/>
    <xf numFmtId="0" fontId="0" fillId="14" borderId="29" xfId="0" applyFill="1" applyBorder="1"/>
    <xf numFmtId="0" fontId="0" fillId="14" borderId="44" xfId="0" applyFill="1" applyBorder="1"/>
    <xf numFmtId="164" fontId="0" fillId="14" borderId="45" xfId="0" applyNumberFormat="1" applyFill="1" applyBorder="1"/>
    <xf numFmtId="0" fontId="0" fillId="14" borderId="46" xfId="0" applyFill="1" applyBorder="1"/>
    <xf numFmtId="0" fontId="0" fillId="13" borderId="47" xfId="0" applyFill="1" applyBorder="1" applyProtection="1">
      <protection locked="0"/>
    </xf>
    <xf numFmtId="0" fontId="2" fillId="13" borderId="19" xfId="0" applyFont="1" applyFill="1" applyBorder="1" applyAlignment="1">
      <alignment horizontal="center"/>
    </xf>
    <xf numFmtId="0" fontId="0" fillId="13" borderId="40" xfId="0" applyFill="1" applyBorder="1" applyAlignment="1">
      <alignment horizontal="center"/>
    </xf>
    <xf numFmtId="0" fontId="0" fillId="13" borderId="20" xfId="0" applyFill="1" applyBorder="1" applyAlignment="1">
      <alignment horizontal="center"/>
    </xf>
  </cellXfs>
  <cellStyles count="6">
    <cellStyle name="Comma" xfId="4" builtinId="3"/>
    <cellStyle name="Comma 2" xfId="3" xr:uid="{00000000-0005-0000-0000-000000000000}"/>
    <cellStyle name="Currency 2" xfId="2" xr:uid="{00000000-0005-0000-0000-000001000000}"/>
    <cellStyle name="Normal" xfId="0" builtinId="0"/>
    <cellStyle name="Normal 2" xfId="1" xr:uid="{00000000-0005-0000-0000-000003000000}"/>
    <cellStyle name="Percent" xfId="5" builtinId="5"/>
  </cellStyles>
  <dxfs count="0"/>
  <tableStyles count="0" defaultTableStyle="TableStyleMedium2" defaultPivotStyle="PivotStyleLight16"/>
  <colors>
    <mruColors>
      <color rgb="FFFFFAF0"/>
      <color rgb="FFD1E5D2"/>
      <color rgb="FFDDEBF6"/>
      <color rgb="FFF7C575"/>
      <color rgb="FF204A7B"/>
      <color rgb="FF3B69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825499</xdr:colOff>
      <xdr:row>1</xdr:row>
      <xdr:rowOff>63500</xdr:rowOff>
    </xdr:from>
    <xdr:to>
      <xdr:col>5</xdr:col>
      <xdr:colOff>352778</xdr:colOff>
      <xdr:row>5</xdr:row>
      <xdr:rowOff>74336</xdr:rowOff>
    </xdr:to>
    <xdr:pic>
      <xdr:nvPicPr>
        <xdr:cNvPr id="15" name="Picture 14">
          <a:extLst>
            <a:ext uri="{FF2B5EF4-FFF2-40B4-BE49-F238E27FC236}">
              <a16:creationId xmlns:a16="http://schemas.microsoft.com/office/drawing/2014/main" id="{CCDA3C08-4422-7049-906B-3FAB9E7DF5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8416" y="264583"/>
          <a:ext cx="1834445" cy="9104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3175000</xdr:colOff>
      <xdr:row>1</xdr:row>
      <xdr:rowOff>88900</xdr:rowOff>
    </xdr:from>
    <xdr:to>
      <xdr:col>7</xdr:col>
      <xdr:colOff>251179</xdr:colOff>
      <xdr:row>5</xdr:row>
      <xdr:rowOff>112436</xdr:rowOff>
    </xdr:to>
    <xdr:pic>
      <xdr:nvPicPr>
        <xdr:cNvPr id="3" name="Picture 2">
          <a:extLst>
            <a:ext uri="{FF2B5EF4-FFF2-40B4-BE49-F238E27FC236}">
              <a16:creationId xmlns:a16="http://schemas.microsoft.com/office/drawing/2014/main" id="{D275E436-3027-C547-9D7A-72A73C3DA9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69300" y="254000"/>
          <a:ext cx="1838679" cy="91253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35"/>
  <sheetViews>
    <sheetView tabSelected="1" zoomScale="150" zoomScaleNormal="150" workbookViewId="0">
      <selection activeCell="C23" sqref="C23"/>
    </sheetView>
  </sheetViews>
  <sheetFormatPr baseColWidth="10" defaultColWidth="8.83203125" defaultRowHeight="15" x14ac:dyDescent="0.2"/>
  <cols>
    <col min="1" max="1" width="6.6640625" customWidth="1"/>
    <col min="2" max="2" width="49.83203125" customWidth="1"/>
    <col min="3" max="6" width="15.1640625" customWidth="1"/>
    <col min="7" max="7" width="6.6640625" customWidth="1"/>
  </cols>
  <sheetData>
    <row r="1" spans="1:14" ht="40" customHeight="1" thickBot="1" x14ac:dyDescent="0.25">
      <c r="A1" s="4"/>
      <c r="B1" s="4"/>
      <c r="C1" s="4"/>
      <c r="D1" s="4"/>
      <c r="E1" s="4"/>
      <c r="F1" s="4"/>
      <c r="G1" s="4"/>
    </row>
    <row r="2" spans="1:14" x14ac:dyDescent="0.2">
      <c r="A2" s="4"/>
      <c r="B2" s="5"/>
      <c r="C2" s="6"/>
      <c r="D2" s="6"/>
      <c r="E2" s="6"/>
      <c r="F2" s="7"/>
      <c r="G2" s="4"/>
    </row>
    <row r="3" spans="1:14" ht="24" x14ac:dyDescent="0.3">
      <c r="A3" s="4"/>
      <c r="B3" s="8" t="s">
        <v>86</v>
      </c>
      <c r="C3" s="9"/>
      <c r="D3" s="9"/>
      <c r="E3" s="9"/>
      <c r="F3" s="10"/>
      <c r="G3" s="4"/>
    </row>
    <row r="4" spans="1:14" ht="16" x14ac:dyDescent="0.2">
      <c r="A4" s="4"/>
      <c r="B4" s="11" t="s">
        <v>93</v>
      </c>
      <c r="C4" s="9"/>
      <c r="D4" s="9"/>
      <c r="E4" s="9"/>
      <c r="F4" s="10"/>
      <c r="G4" s="4"/>
    </row>
    <row r="5" spans="1:14" ht="16" x14ac:dyDescent="0.2">
      <c r="A5" s="152"/>
      <c r="B5" s="151" t="s">
        <v>87</v>
      </c>
      <c r="C5" s="9"/>
      <c r="D5" s="9"/>
      <c r="E5" s="9"/>
      <c r="F5" s="10"/>
      <c r="G5" s="4"/>
    </row>
    <row r="6" spans="1:14" ht="16" thickBot="1" x14ac:dyDescent="0.25">
      <c r="A6" s="4"/>
      <c r="B6" s="12"/>
      <c r="C6" s="13"/>
      <c r="D6" s="13"/>
      <c r="E6" s="13"/>
      <c r="F6" s="14"/>
      <c r="G6" s="4"/>
    </row>
    <row r="7" spans="1:14" ht="24" customHeight="1" thickBot="1" x14ac:dyDescent="0.35">
      <c r="A7" s="4"/>
      <c r="B7" s="15" t="s">
        <v>12</v>
      </c>
      <c r="C7" s="16"/>
      <c r="D7" s="16"/>
      <c r="E7" s="16"/>
      <c r="F7" s="17"/>
      <c r="G7" s="4"/>
      <c r="L7" s="45"/>
      <c r="M7" s="42"/>
      <c r="N7" s="42"/>
    </row>
    <row r="8" spans="1:14" ht="16" customHeight="1" x14ac:dyDescent="0.25">
      <c r="A8" s="4"/>
      <c r="B8" s="22" t="s">
        <v>0</v>
      </c>
      <c r="C8" s="55">
        <v>1000</v>
      </c>
      <c r="D8" s="27"/>
      <c r="E8" s="27"/>
      <c r="F8" s="28"/>
      <c r="G8" s="4"/>
      <c r="L8" s="46"/>
      <c r="M8" s="42"/>
      <c r="N8" s="42"/>
    </row>
    <row r="9" spans="1:14" ht="16" customHeight="1" x14ac:dyDescent="0.2">
      <c r="A9" s="4"/>
      <c r="B9" s="23" t="s">
        <v>1</v>
      </c>
      <c r="C9" s="54">
        <v>1.1000000000000001</v>
      </c>
      <c r="D9" s="180" t="s">
        <v>88</v>
      </c>
      <c r="E9" s="181"/>
      <c r="F9" s="182"/>
      <c r="G9" s="4"/>
      <c r="L9" s="47"/>
      <c r="M9" s="42"/>
      <c r="N9" s="42"/>
    </row>
    <row r="10" spans="1:14" ht="16" x14ac:dyDescent="0.2">
      <c r="A10" s="4"/>
      <c r="B10" s="23" t="s">
        <v>2</v>
      </c>
      <c r="C10" s="56">
        <v>0.05</v>
      </c>
      <c r="D10" s="29"/>
      <c r="E10" s="29"/>
      <c r="F10" s="30"/>
      <c r="G10" s="4"/>
      <c r="L10" s="48"/>
      <c r="M10" s="48"/>
      <c r="N10" s="48"/>
    </row>
    <row r="11" spans="1:14" ht="16" customHeight="1" x14ac:dyDescent="0.25">
      <c r="A11" s="4"/>
      <c r="B11" s="23" t="s">
        <v>3</v>
      </c>
      <c r="C11" s="24">
        <f>((herd_size*fresh_factor)-((herd_size*fresh_factor)*pct_stillborn))/365</f>
        <v>2.8630136986301369</v>
      </c>
      <c r="D11" s="29"/>
      <c r="E11" s="29"/>
      <c r="F11" s="30"/>
      <c r="G11" s="4"/>
      <c r="L11" s="49"/>
      <c r="M11" s="43"/>
      <c r="N11" s="43"/>
    </row>
    <row r="12" spans="1:14" ht="16" x14ac:dyDescent="0.2">
      <c r="A12" s="4"/>
      <c r="B12" s="23" t="s">
        <v>4</v>
      </c>
      <c r="C12" s="56">
        <v>0.5</v>
      </c>
      <c r="D12" s="29"/>
      <c r="E12" s="29"/>
      <c r="F12" s="30"/>
      <c r="G12" s="4"/>
      <c r="L12" s="50"/>
      <c r="M12" s="51"/>
      <c r="N12" s="43"/>
    </row>
    <row r="13" spans="1:14" ht="17" thickBot="1" x14ac:dyDescent="0.25">
      <c r="A13" s="4"/>
      <c r="B13" s="23" t="s">
        <v>99</v>
      </c>
      <c r="C13" s="25">
        <f>live_calves_per_day*Pct_raised</f>
        <v>1.4315068493150684</v>
      </c>
      <c r="D13" s="29"/>
      <c r="E13" s="29"/>
      <c r="F13" s="30"/>
      <c r="G13" s="4"/>
      <c r="L13" s="50"/>
      <c r="M13" s="43"/>
      <c r="N13" s="43"/>
    </row>
    <row r="14" spans="1:14" ht="65" thickBot="1" x14ac:dyDescent="0.25">
      <c r="A14" s="4"/>
      <c r="B14" s="18" t="s">
        <v>13</v>
      </c>
      <c r="C14" s="19"/>
      <c r="D14" s="20" t="s">
        <v>6</v>
      </c>
      <c r="E14" s="20" t="s">
        <v>7</v>
      </c>
      <c r="F14" s="21" t="s">
        <v>8</v>
      </c>
      <c r="G14" s="4"/>
      <c r="H14" s="1"/>
      <c r="L14" s="50"/>
      <c r="M14" s="53"/>
    </row>
    <row r="15" spans="1:14" ht="16" x14ac:dyDescent="0.2">
      <c r="A15" s="4"/>
      <c r="B15" s="22" t="s">
        <v>5</v>
      </c>
      <c r="C15" s="57">
        <v>56</v>
      </c>
      <c r="D15" s="27">
        <f>days_on_milk</f>
        <v>56</v>
      </c>
      <c r="E15" s="36">
        <f>days_on_milk</f>
        <v>56</v>
      </c>
      <c r="F15" s="28">
        <f>days_on_milk</f>
        <v>56</v>
      </c>
      <c r="G15" s="4"/>
      <c r="L15" s="50"/>
      <c r="M15" s="52"/>
      <c r="N15" s="44"/>
    </row>
    <row r="16" spans="1:14" x14ac:dyDescent="0.2">
      <c r="A16" s="4"/>
      <c r="B16" s="23" t="s">
        <v>91</v>
      </c>
      <c r="C16" s="58">
        <v>5</v>
      </c>
      <c r="D16" s="29">
        <f>delay_days</f>
        <v>5</v>
      </c>
      <c r="E16" s="32">
        <f>delay_days</f>
        <v>5</v>
      </c>
      <c r="F16" s="30">
        <f>delay_days</f>
        <v>5</v>
      </c>
      <c r="G16" s="4"/>
    </row>
    <row r="17" spans="1:7" x14ac:dyDescent="0.2">
      <c r="A17" s="4"/>
      <c r="B17" s="23" t="s">
        <v>90</v>
      </c>
      <c r="C17" s="58">
        <v>7</v>
      </c>
      <c r="D17" s="29">
        <f>downtime_days</f>
        <v>7</v>
      </c>
      <c r="E17" s="32">
        <f>downtime_days</f>
        <v>7</v>
      </c>
      <c r="F17" s="37" t="s">
        <v>9</v>
      </c>
      <c r="G17" s="4"/>
    </row>
    <row r="18" spans="1:7" x14ac:dyDescent="0.2">
      <c r="A18" s="4"/>
      <c r="B18" s="23" t="s">
        <v>92</v>
      </c>
      <c r="C18" s="32"/>
      <c r="D18" s="32">
        <f>D15+D16+D17</f>
        <v>68</v>
      </c>
      <c r="E18" s="32">
        <f>E15+E16+E17</f>
        <v>68</v>
      </c>
      <c r="F18" s="30">
        <f>F15+F16</f>
        <v>61</v>
      </c>
      <c r="G18" s="4"/>
    </row>
    <row r="19" spans="1:7" x14ac:dyDescent="0.2">
      <c r="A19" s="4"/>
      <c r="B19" s="23" t="s">
        <v>100</v>
      </c>
      <c r="C19" s="32"/>
      <c r="D19" s="153">
        <f>Opt1_cycle_days*enter_per_day</f>
        <v>97.342465753424648</v>
      </c>
      <c r="E19" s="38">
        <f>Opt2_cycle_days*enter_per_day</f>
        <v>97.342465753424648</v>
      </c>
      <c r="F19" s="39">
        <f>Opt3_cycle_days*enter_per_day</f>
        <v>87.321917808219169</v>
      </c>
      <c r="G19" s="4"/>
    </row>
    <row r="20" spans="1:7" x14ac:dyDescent="0.2">
      <c r="A20" s="4"/>
      <c r="B20" s="23" t="s">
        <v>16</v>
      </c>
      <c r="C20" s="32"/>
      <c r="D20" s="59">
        <v>1.25</v>
      </c>
      <c r="E20" s="58">
        <v>1.1000000000000001</v>
      </c>
      <c r="F20" s="60">
        <v>1.1000000000000001</v>
      </c>
      <c r="G20" s="4"/>
    </row>
    <row r="21" spans="1:7" ht="17" thickBot="1" x14ac:dyDescent="0.25">
      <c r="A21" s="4"/>
      <c r="B21" s="157" t="s">
        <v>101</v>
      </c>
      <c r="C21" s="26"/>
      <c r="D21" s="33">
        <f>Opt1_avg_calves_cycle*Opt1_adj_factor</f>
        <v>121.67808219178082</v>
      </c>
      <c r="E21" s="34">
        <f>Opt2_avg_calves_cycle*Opt2_adj_factor</f>
        <v>107.07671232876712</v>
      </c>
      <c r="F21" s="35">
        <f>Opt3_avg_calves_cycle*Opt3_adj_factor</f>
        <v>96.05410958904109</v>
      </c>
      <c r="G21" s="4"/>
    </row>
    <row r="22" spans="1:7" ht="24" customHeight="1" thickBot="1" x14ac:dyDescent="0.25">
      <c r="A22" s="4"/>
      <c r="B22" s="18" t="s">
        <v>14</v>
      </c>
      <c r="C22" s="164"/>
      <c r="D22" s="16"/>
      <c r="E22" s="16"/>
      <c r="F22" s="17"/>
      <c r="G22" s="4"/>
    </row>
    <row r="23" spans="1:7" x14ac:dyDescent="0.2">
      <c r="A23" s="4"/>
      <c r="B23" s="22" t="s">
        <v>96</v>
      </c>
      <c r="C23" s="58">
        <v>21</v>
      </c>
      <c r="D23" s="160"/>
      <c r="E23" s="161"/>
      <c r="F23" s="162"/>
      <c r="G23" s="4"/>
    </row>
    <row r="24" spans="1:7" x14ac:dyDescent="0.2">
      <c r="A24" s="4"/>
      <c r="B24" s="23" t="s">
        <v>98</v>
      </c>
      <c r="C24" s="32"/>
      <c r="D24" s="156">
        <f>Age_range*enter_per_day</f>
        <v>30.061643835616437</v>
      </c>
      <c r="E24" s="158"/>
      <c r="F24" s="159">
        <f>Age_range*enter_per_day</f>
        <v>30.061643835616437</v>
      </c>
      <c r="G24" s="4"/>
    </row>
    <row r="25" spans="1:7" x14ac:dyDescent="0.2">
      <c r="A25" s="4"/>
      <c r="B25" s="23" t="s">
        <v>10</v>
      </c>
      <c r="C25" s="32"/>
      <c r="D25" s="163">
        <f>Opt1_capacity/(enter_per_day*Age_range)</f>
        <v>4.0476190476190474</v>
      </c>
      <c r="E25" s="163"/>
      <c r="F25" s="154">
        <f>Opt3_capacity/(enter_per_day*Age_range)</f>
        <v>3.1952380952380954</v>
      </c>
      <c r="G25" s="4"/>
    </row>
    <row r="26" spans="1:7" x14ac:dyDescent="0.2">
      <c r="A26" s="4"/>
      <c r="B26" s="178" t="s">
        <v>94</v>
      </c>
      <c r="C26" s="179">
        <v>40</v>
      </c>
      <c r="D26" s="165"/>
      <c r="E26" s="166"/>
      <c r="F26" s="167"/>
      <c r="G26" s="4"/>
    </row>
    <row r="27" spans="1:7" ht="16" thickBot="1" x14ac:dyDescent="0.25">
      <c r="A27" s="4"/>
      <c r="B27" s="31" t="s">
        <v>95</v>
      </c>
      <c r="C27" s="26"/>
      <c r="D27" s="155"/>
      <c r="E27" s="40">
        <f>Opt2_capacity/pref_barn_capacity</f>
        <v>2.6769178082191778</v>
      </c>
      <c r="F27" s="41">
        <f>Opt3_capacity/pref_barn_capacity</f>
        <v>2.4013527397260273</v>
      </c>
      <c r="G27" s="4"/>
    </row>
    <row r="28" spans="1:7" ht="24" customHeight="1" thickBot="1" x14ac:dyDescent="0.25">
      <c r="A28" s="4"/>
      <c r="B28" s="15" t="s">
        <v>97</v>
      </c>
      <c r="C28" s="16"/>
      <c r="D28" s="16"/>
      <c r="E28" s="16"/>
      <c r="F28" s="17"/>
      <c r="G28" s="4"/>
    </row>
    <row r="29" spans="1:7" x14ac:dyDescent="0.2">
      <c r="A29" s="4"/>
      <c r="B29" s="22" t="s">
        <v>11</v>
      </c>
      <c r="C29" s="61">
        <v>7</v>
      </c>
      <c r="D29" s="27"/>
      <c r="E29" s="36"/>
      <c r="F29" s="28"/>
      <c r="G29" s="4"/>
    </row>
    <row r="30" spans="1:7" x14ac:dyDescent="0.2">
      <c r="A30" s="4"/>
      <c r="B30" s="23" t="s">
        <v>15</v>
      </c>
      <c r="C30" s="170"/>
      <c r="D30" s="168">
        <f>(enter_per_day*days_indiv_pen)</f>
        <v>10.020547945205479</v>
      </c>
      <c r="E30" s="168">
        <f>(enter_per_day*days_indiv_pen)</f>
        <v>10.020547945205479</v>
      </c>
      <c r="F30" s="169">
        <f>(enter_per_day*days_indiv_pen)</f>
        <v>10.020547945205479</v>
      </c>
      <c r="G30" s="4"/>
    </row>
    <row r="31" spans="1:7" x14ac:dyDescent="0.2">
      <c r="A31" s="4"/>
      <c r="B31" s="23" t="s">
        <v>105</v>
      </c>
      <c r="C31" s="58">
        <v>15</v>
      </c>
      <c r="D31" s="172"/>
      <c r="E31" s="172"/>
      <c r="F31" s="173"/>
      <c r="G31" s="4"/>
    </row>
    <row r="32" spans="1:7" ht="16" customHeight="1" x14ac:dyDescent="0.2">
      <c r="A32" s="4"/>
      <c r="B32" s="23" t="s">
        <v>102</v>
      </c>
      <c r="C32" s="171"/>
      <c r="D32" s="163">
        <f>(Opt1_capacity-No_indiv_pens)/max_calves_feeder</f>
        <v>7.4438356164383555</v>
      </c>
      <c r="E32" s="163">
        <f>(Opt2_capacity-E30)/max_calves_feeder</f>
        <v>6.4704109589041092</v>
      </c>
      <c r="F32" s="154">
        <f>(Opt3_capacity-F30)/max_calves_feeder</f>
        <v>5.7355707762557078</v>
      </c>
      <c r="G32" s="4"/>
    </row>
    <row r="33" spans="1:7" ht="15" customHeight="1" x14ac:dyDescent="0.2">
      <c r="A33" s="4"/>
      <c r="B33" s="175" t="s">
        <v>103</v>
      </c>
      <c r="C33" s="32"/>
      <c r="D33" s="163">
        <f>D24/max_calves_feeder</f>
        <v>2.0041095890410956</v>
      </c>
      <c r="E33" s="163"/>
      <c r="F33" s="174">
        <f>F24/max_calves_feeder</f>
        <v>2.0041095890410956</v>
      </c>
      <c r="G33" s="4"/>
    </row>
    <row r="34" spans="1:7" ht="15" customHeight="1" thickBot="1" x14ac:dyDescent="0.25">
      <c r="A34" s="4"/>
      <c r="B34" s="176" t="s">
        <v>104</v>
      </c>
      <c r="C34" s="26"/>
      <c r="D34" s="40"/>
      <c r="E34" s="40">
        <f>pref_barn_capacity/max_calves_feeder</f>
        <v>2.6666666666666665</v>
      </c>
      <c r="F34" s="177">
        <f>pref_barn_capacity/max_calves_feeder</f>
        <v>2.6666666666666665</v>
      </c>
      <c r="G34" s="4"/>
    </row>
    <row r="35" spans="1:7" ht="40" customHeight="1" x14ac:dyDescent="0.2">
      <c r="A35" s="4"/>
      <c r="B35" s="4"/>
      <c r="C35" s="4"/>
      <c r="D35" s="4"/>
      <c r="E35" s="4"/>
      <c r="F35" s="4"/>
      <c r="G35" s="4"/>
    </row>
  </sheetData>
  <sheetProtection sheet="1" selectLockedCells="1"/>
  <protectedRanges>
    <protectedRange sqref="C31" name="Range8"/>
    <protectedRange sqref="C26" name="Range6"/>
    <protectedRange sqref="C23 C15:C17" name="Range4"/>
    <protectedRange sqref="C10" name="Range2"/>
    <protectedRange sqref="C8" name="Range1"/>
    <protectedRange sqref="C12" name="Range3"/>
    <protectedRange sqref="D20:F20" name="Range5"/>
    <protectedRange sqref="C29" name="Range7"/>
  </protectedRanges>
  <mergeCells count="1">
    <mergeCell ref="D9:F9"/>
  </mergeCell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42"/>
  <sheetViews>
    <sheetView zoomScaleNormal="100" workbookViewId="0">
      <selection activeCell="G8" sqref="G8"/>
    </sheetView>
  </sheetViews>
  <sheetFormatPr baseColWidth="10" defaultColWidth="8.83203125" defaultRowHeight="13" x14ac:dyDescent="0.15"/>
  <cols>
    <col min="1" max="1" width="3.1640625" style="2" customWidth="1"/>
    <col min="2" max="2" width="38.1640625" style="2" customWidth="1"/>
    <col min="3" max="3" width="13.1640625" style="2" customWidth="1"/>
    <col min="4" max="4" width="12.33203125" style="2" customWidth="1"/>
    <col min="5" max="5" width="1.33203125" style="2" customWidth="1"/>
    <col min="6" max="6" width="45.5" style="2" customWidth="1"/>
    <col min="7" max="7" width="17" style="2" customWidth="1"/>
    <col min="8" max="8" width="11.6640625" style="2" customWidth="1"/>
    <col min="9" max="16384" width="8.83203125" style="2"/>
  </cols>
  <sheetData>
    <row r="1" spans="1:9" ht="13" customHeight="1" thickBot="1" x14ac:dyDescent="0.2"/>
    <row r="2" spans="1:9" ht="14.5" customHeight="1" x14ac:dyDescent="0.2">
      <c r="B2" s="63"/>
      <c r="C2" s="64"/>
      <c r="D2" s="64"/>
      <c r="E2" s="64"/>
      <c r="F2" s="64"/>
      <c r="G2" s="64"/>
      <c r="H2" s="65"/>
      <c r="I2" s="62"/>
    </row>
    <row r="3" spans="1:9" ht="24" x14ac:dyDescent="0.3">
      <c r="B3" s="66" t="s">
        <v>89</v>
      </c>
      <c r="C3" s="67"/>
      <c r="D3" s="67"/>
      <c r="E3" s="67"/>
      <c r="F3" s="67"/>
      <c r="G3" s="67"/>
      <c r="H3" s="68"/>
      <c r="I3" s="62"/>
    </row>
    <row r="4" spans="1:9" ht="16" x14ac:dyDescent="0.2">
      <c r="B4" s="69">
        <v>43584</v>
      </c>
      <c r="C4" s="67"/>
      <c r="D4" s="67"/>
      <c r="E4" s="67"/>
      <c r="F4" s="67"/>
      <c r="G4" s="67"/>
      <c r="H4" s="68"/>
      <c r="I4" s="62"/>
    </row>
    <row r="5" spans="1:9" ht="16" x14ac:dyDescent="0.2">
      <c r="B5" s="70" t="s">
        <v>80</v>
      </c>
      <c r="C5" s="67"/>
      <c r="D5" s="67"/>
      <c r="E5" s="67"/>
      <c r="F5" s="67"/>
      <c r="G5" s="67"/>
      <c r="H5" s="68"/>
      <c r="I5" s="62"/>
    </row>
    <row r="6" spans="1:9" ht="15" thickBot="1" x14ac:dyDescent="0.25">
      <c r="B6" s="71"/>
      <c r="C6" s="72"/>
      <c r="D6" s="72"/>
      <c r="E6" s="72"/>
      <c r="F6" s="72"/>
      <c r="G6" s="72"/>
      <c r="H6" s="73"/>
      <c r="I6" s="62"/>
    </row>
    <row r="7" spans="1:9" ht="25.5" customHeight="1" thickBot="1" x14ac:dyDescent="0.25">
      <c r="A7" s="74"/>
      <c r="B7" s="75" t="s">
        <v>79</v>
      </c>
      <c r="C7" s="76" t="s">
        <v>78</v>
      </c>
      <c r="D7" s="76" t="s">
        <v>77</v>
      </c>
      <c r="E7" s="76"/>
      <c r="F7" s="76" t="s">
        <v>79</v>
      </c>
      <c r="G7" s="76" t="s">
        <v>78</v>
      </c>
      <c r="H7" s="77" t="s">
        <v>77</v>
      </c>
      <c r="I7" s="62"/>
    </row>
    <row r="8" spans="1:9" ht="15" x14ac:dyDescent="0.2">
      <c r="A8" s="74"/>
      <c r="B8" s="78" t="s">
        <v>76</v>
      </c>
      <c r="C8" s="79">
        <f>enter_per_day*365</f>
        <v>522.5</v>
      </c>
      <c r="D8" s="80" t="s">
        <v>75</v>
      </c>
      <c r="E8" s="81"/>
      <c r="F8" s="82" t="s">
        <v>74</v>
      </c>
      <c r="G8" s="149">
        <v>200</v>
      </c>
      <c r="H8" s="83" t="s">
        <v>73</v>
      </c>
      <c r="I8" s="62"/>
    </row>
    <row r="9" spans="1:9" ht="15" x14ac:dyDescent="0.2">
      <c r="A9" s="74"/>
      <c r="B9" s="84" t="s">
        <v>72</v>
      </c>
      <c r="C9" s="85">
        <f>Opt3_capacity</f>
        <v>96.05410958904109</v>
      </c>
      <c r="D9" s="86" t="s">
        <v>49</v>
      </c>
      <c r="E9" s="3"/>
      <c r="F9" s="82" t="s">
        <v>71</v>
      </c>
      <c r="G9" s="149">
        <v>30</v>
      </c>
      <c r="H9" s="83" t="s">
        <v>67</v>
      </c>
      <c r="I9" s="62"/>
    </row>
    <row r="10" spans="1:9" ht="15" x14ac:dyDescent="0.2">
      <c r="A10" s="74"/>
      <c r="B10" s="84" t="s">
        <v>70</v>
      </c>
      <c r="C10" s="143">
        <v>1700</v>
      </c>
      <c r="D10" s="86" t="s">
        <v>69</v>
      </c>
      <c r="E10" s="3"/>
      <c r="F10" s="82" t="s">
        <v>68</v>
      </c>
      <c r="G10" s="149">
        <v>20</v>
      </c>
      <c r="H10" s="83" t="s">
        <v>67</v>
      </c>
      <c r="I10" s="62"/>
    </row>
    <row r="11" spans="1:9" ht="15" x14ac:dyDescent="0.2">
      <c r="A11" s="74"/>
      <c r="B11" s="84" t="s">
        <v>66</v>
      </c>
      <c r="C11" s="87">
        <f>CF_capacity_per_cycle*Building_cost_per_space</f>
        <v>163291.98630136985</v>
      </c>
      <c r="D11" s="86" t="s">
        <v>36</v>
      </c>
      <c r="E11" s="3"/>
      <c r="F11" s="82" t="s">
        <v>65</v>
      </c>
      <c r="G11" s="150">
        <v>0.08</v>
      </c>
      <c r="H11" s="88"/>
      <c r="I11" s="62"/>
    </row>
    <row r="12" spans="1:9" ht="15" x14ac:dyDescent="0.2">
      <c r="A12" s="74"/>
      <c r="B12" s="84" t="s">
        <v>64</v>
      </c>
      <c r="C12" s="89">
        <f>Opt3_cycle_days</f>
        <v>61</v>
      </c>
      <c r="D12" s="86" t="s">
        <v>45</v>
      </c>
      <c r="E12" s="3"/>
      <c r="F12" s="82" t="s">
        <v>63</v>
      </c>
      <c r="G12" s="150">
        <v>0.15</v>
      </c>
      <c r="H12" s="90" t="s">
        <v>28</v>
      </c>
      <c r="I12" s="62"/>
    </row>
    <row r="13" spans="1:9" ht="15" x14ac:dyDescent="0.2">
      <c r="A13" s="74"/>
      <c r="B13" s="84" t="s">
        <v>62</v>
      </c>
      <c r="C13" s="144">
        <v>4.4999999999999998E-2</v>
      </c>
      <c r="D13" s="86" t="s">
        <v>61</v>
      </c>
      <c r="E13" s="3"/>
      <c r="F13" s="82" t="s">
        <v>60</v>
      </c>
      <c r="G13" s="150">
        <v>0.2</v>
      </c>
      <c r="H13" s="90" t="s">
        <v>28</v>
      </c>
      <c r="I13" s="62"/>
    </row>
    <row r="14" spans="1:9" ht="15" x14ac:dyDescent="0.2">
      <c r="A14" s="74"/>
      <c r="B14" s="84" t="s">
        <v>59</v>
      </c>
      <c r="C14" s="145">
        <v>15</v>
      </c>
      <c r="D14" s="86" t="s">
        <v>58</v>
      </c>
      <c r="E14" s="3"/>
      <c r="F14" s="82" t="s">
        <v>57</v>
      </c>
      <c r="G14" s="91">
        <f>CF_resp_Rx_pct*2</f>
        <v>0.4</v>
      </c>
      <c r="H14" s="90" t="s">
        <v>28</v>
      </c>
      <c r="I14" s="62"/>
    </row>
    <row r="15" spans="1:9" ht="17" x14ac:dyDescent="0.2">
      <c r="A15" s="74"/>
      <c r="B15" s="84" t="s">
        <v>56</v>
      </c>
      <c r="C15" s="92">
        <f>(PMT(Interest_rate,Repayment_period,CF_building_cost)*-1)</f>
        <v>15204.738679145206</v>
      </c>
      <c r="D15" s="86" t="s">
        <v>55</v>
      </c>
      <c r="E15" s="3"/>
      <c r="F15" s="82" t="s">
        <v>82</v>
      </c>
      <c r="G15" s="3">
        <v>1155</v>
      </c>
      <c r="H15" s="90" t="s">
        <v>54</v>
      </c>
      <c r="I15" s="62"/>
    </row>
    <row r="16" spans="1:9" ht="18" thickBot="1" x14ac:dyDescent="0.25">
      <c r="A16" s="74"/>
      <c r="B16" s="93" t="s">
        <v>53</v>
      </c>
      <c r="C16" s="146">
        <v>16</v>
      </c>
      <c r="D16" s="94" t="s">
        <v>52</v>
      </c>
      <c r="E16" s="3"/>
      <c r="F16" s="82" t="s">
        <v>81</v>
      </c>
      <c r="G16" s="95">
        <f>(Future_milk_loss_resp_case*(Milk_price/100)*0.5)</f>
        <v>92.4</v>
      </c>
      <c r="H16" s="90"/>
      <c r="I16" s="96"/>
    </row>
    <row r="17" spans="2:9" ht="25" customHeight="1" thickBot="1" x14ac:dyDescent="0.25">
      <c r="B17" s="75" t="s">
        <v>51</v>
      </c>
      <c r="C17" s="76"/>
      <c r="D17" s="76"/>
      <c r="E17" s="76"/>
      <c r="F17" s="76" t="s">
        <v>51</v>
      </c>
      <c r="G17" s="76"/>
      <c r="H17" s="77"/>
      <c r="I17" s="62"/>
    </row>
    <row r="18" spans="2:9" ht="15" x14ac:dyDescent="0.2">
      <c r="B18" s="78" t="s">
        <v>50</v>
      </c>
      <c r="C18" s="79">
        <f>Opt1_capacity</f>
        <v>121.67808219178082</v>
      </c>
      <c r="D18" s="80" t="s">
        <v>49</v>
      </c>
      <c r="E18" s="81"/>
      <c r="F18" s="82" t="s">
        <v>48</v>
      </c>
      <c r="G18" s="149">
        <v>200</v>
      </c>
      <c r="H18" s="90" t="s">
        <v>47</v>
      </c>
      <c r="I18" s="62"/>
    </row>
    <row r="19" spans="2:9" ht="15" x14ac:dyDescent="0.2">
      <c r="B19" s="84" t="s">
        <v>46</v>
      </c>
      <c r="C19" s="85">
        <f>Opt1_cycle_days</f>
        <v>68</v>
      </c>
      <c r="D19" s="86" t="s">
        <v>45</v>
      </c>
      <c r="E19" s="3"/>
      <c r="F19" s="82" t="s">
        <v>44</v>
      </c>
      <c r="G19" s="150">
        <v>0.08</v>
      </c>
      <c r="H19" s="90"/>
      <c r="I19" s="62"/>
    </row>
    <row r="20" spans="2:9" ht="15" x14ac:dyDescent="0.2">
      <c r="B20" s="84" t="s">
        <v>43</v>
      </c>
      <c r="C20" s="147">
        <v>8000</v>
      </c>
      <c r="D20" s="86" t="s">
        <v>42</v>
      </c>
      <c r="E20" s="3"/>
      <c r="F20" s="82" t="s">
        <v>41</v>
      </c>
      <c r="G20" s="150">
        <v>0.12</v>
      </c>
      <c r="H20" s="90" t="s">
        <v>28</v>
      </c>
      <c r="I20" s="62"/>
    </row>
    <row r="21" spans="2:9" ht="15" x14ac:dyDescent="0.2">
      <c r="B21" s="84" t="s">
        <v>40</v>
      </c>
      <c r="C21" s="148">
        <v>1.5</v>
      </c>
      <c r="D21" s="86" t="s">
        <v>39</v>
      </c>
      <c r="E21" s="3"/>
      <c r="F21" s="82" t="s">
        <v>38</v>
      </c>
      <c r="G21" s="150">
        <v>0.1</v>
      </c>
      <c r="H21" s="90"/>
      <c r="I21" s="62"/>
    </row>
    <row r="22" spans="2:9" ht="15" x14ac:dyDescent="0.2">
      <c r="B22" s="84" t="s">
        <v>37</v>
      </c>
      <c r="C22" s="97">
        <f>((AIAO_capacity_per_cycle)*Building_cost_per_space)+(Number_acres*Acre_value)</f>
        <v>218852.73972602739</v>
      </c>
      <c r="D22" s="86" t="s">
        <v>36</v>
      </c>
      <c r="E22" s="3"/>
      <c r="F22" s="82" t="s">
        <v>35</v>
      </c>
      <c r="G22" s="91">
        <f>AIAO_resp_Rx_pct*2</f>
        <v>0.2</v>
      </c>
      <c r="H22" s="90"/>
      <c r="I22" s="62"/>
    </row>
    <row r="23" spans="2:9" ht="16" thickBot="1" x14ac:dyDescent="0.25">
      <c r="B23" s="84" t="s">
        <v>34</v>
      </c>
      <c r="C23" s="92">
        <f>(PMT(Interest_rate,Repayment_period,AIAO_building_cost)*-1)</f>
        <v>20378.21201224075</v>
      </c>
      <c r="D23" s="86" t="s">
        <v>33</v>
      </c>
      <c r="E23" s="3"/>
      <c r="F23" s="98"/>
      <c r="G23" s="62"/>
      <c r="H23" s="88"/>
      <c r="I23" s="62"/>
    </row>
    <row r="24" spans="2:9" ht="19" x14ac:dyDescent="0.25">
      <c r="B24" s="99" t="s">
        <v>32</v>
      </c>
      <c r="C24" s="100"/>
      <c r="D24" s="101"/>
      <c r="E24" s="102"/>
      <c r="F24" s="103" t="s">
        <v>31</v>
      </c>
      <c r="G24" s="104"/>
      <c r="H24" s="105"/>
      <c r="I24" s="62"/>
    </row>
    <row r="25" spans="2:9" ht="16" x14ac:dyDescent="0.2">
      <c r="B25" s="106" t="s">
        <v>25</v>
      </c>
      <c r="C25" s="107" t="s">
        <v>24</v>
      </c>
      <c r="D25" s="108"/>
      <c r="E25" s="109"/>
      <c r="F25" s="110" t="s">
        <v>25</v>
      </c>
      <c r="G25" s="111" t="s">
        <v>24</v>
      </c>
      <c r="H25" s="112"/>
      <c r="I25" s="62"/>
    </row>
    <row r="26" spans="2:9" ht="15" x14ac:dyDescent="0.2">
      <c r="B26" s="113" t="s">
        <v>30</v>
      </c>
      <c r="C26" s="114">
        <f>Calves_per_year*(CF_mortality_pct-AIAO_mortality_pct)*Value_heifer</f>
        <v>0</v>
      </c>
      <c r="D26" s="115"/>
      <c r="E26" s="3"/>
      <c r="F26" s="113" t="s">
        <v>28</v>
      </c>
      <c r="G26" s="116"/>
      <c r="H26" s="117"/>
      <c r="I26" s="62"/>
    </row>
    <row r="27" spans="2:9" ht="16" thickBot="1" x14ac:dyDescent="0.25">
      <c r="B27" s="118" t="s">
        <v>29</v>
      </c>
      <c r="C27" s="119">
        <f>Calves_per_year*(CF_est_resp_morbidity-AIAO_est_resp_morbidity)*Value_future_milk_loss</f>
        <v>9655.8000000000011</v>
      </c>
      <c r="D27" s="120"/>
      <c r="E27" s="3"/>
      <c r="F27" s="118" t="s">
        <v>28</v>
      </c>
      <c r="G27" s="121"/>
      <c r="H27" s="122"/>
      <c r="I27" s="62"/>
    </row>
    <row r="28" spans="2:9" ht="16" thickBot="1" x14ac:dyDescent="0.25">
      <c r="B28" s="123" t="s">
        <v>19</v>
      </c>
      <c r="C28" s="124"/>
      <c r="D28" s="121">
        <f>SUM(C26:C27)</f>
        <v>9655.8000000000011</v>
      </c>
      <c r="E28" s="3"/>
      <c r="F28" s="123" t="s">
        <v>19</v>
      </c>
      <c r="G28" s="124"/>
      <c r="H28" s="121">
        <f>SUM(G26:G27)</f>
        <v>0</v>
      </c>
      <c r="I28" s="62"/>
    </row>
    <row r="29" spans="2:9" ht="19" x14ac:dyDescent="0.25">
      <c r="B29" s="99" t="s">
        <v>27</v>
      </c>
      <c r="C29" s="125"/>
      <c r="D29" s="126"/>
      <c r="E29" s="102"/>
      <c r="F29" s="103" t="s">
        <v>26</v>
      </c>
      <c r="G29" s="127"/>
      <c r="H29" s="105"/>
      <c r="I29" s="62"/>
    </row>
    <row r="30" spans="2:9" ht="16" x14ac:dyDescent="0.2">
      <c r="B30" s="128" t="s">
        <v>25</v>
      </c>
      <c r="C30" s="129" t="s">
        <v>24</v>
      </c>
      <c r="D30" s="130"/>
      <c r="E30" s="131"/>
      <c r="F30" s="132" t="s">
        <v>25</v>
      </c>
      <c r="G30" s="133" t="s">
        <v>24</v>
      </c>
      <c r="H30" s="134"/>
      <c r="I30" s="62"/>
    </row>
    <row r="31" spans="2:9" ht="15" x14ac:dyDescent="0.2">
      <c r="B31" s="118" t="s">
        <v>23</v>
      </c>
      <c r="C31" s="119">
        <f>Calves_per_year*(CF_enteric_Rx_pct-AIAO_enteric_Rx_pct)*Cost_enteric_Rx</f>
        <v>313.5</v>
      </c>
      <c r="D31" s="120"/>
      <c r="E31" s="3"/>
      <c r="F31" s="113" t="s">
        <v>22</v>
      </c>
      <c r="G31" s="135">
        <f>(AIAO_annual_payment-CF_annual_payment)</f>
        <v>5173.4733330955441</v>
      </c>
      <c r="H31" s="117"/>
      <c r="I31" s="62"/>
    </row>
    <row r="32" spans="2:9" ht="16" thickBot="1" x14ac:dyDescent="0.25">
      <c r="B32" s="118" t="s">
        <v>21</v>
      </c>
      <c r="C32" s="119">
        <f>Calves_per_year*(CF_resp_Rx_pct-AIAO_resp_Rx_pct)*Cost_respiratory_Rx</f>
        <v>1567.5</v>
      </c>
      <c r="D32" s="120"/>
      <c r="E32" s="3"/>
      <c r="F32" s="118" t="s">
        <v>20</v>
      </c>
      <c r="G32" s="121">
        <f>(365/AIAO_barn_cycle_days)*Cleaning_cost_per_cycle</f>
        <v>1073.5294117647059</v>
      </c>
      <c r="H32" s="122"/>
      <c r="I32" s="62"/>
    </row>
    <row r="33" spans="1:9" ht="16" thickBot="1" x14ac:dyDescent="0.25">
      <c r="B33" s="123" t="s">
        <v>19</v>
      </c>
      <c r="C33" s="124"/>
      <c r="D33" s="136">
        <f>SUM(C31:C32)</f>
        <v>1881</v>
      </c>
      <c r="E33" s="90"/>
      <c r="F33" s="123" t="s">
        <v>19</v>
      </c>
      <c r="G33" s="137"/>
      <c r="H33" s="136">
        <f>SUM(G31:G32)</f>
        <v>6247.0027448602505</v>
      </c>
      <c r="I33" s="62"/>
    </row>
    <row r="34" spans="1:9" ht="20" thickBot="1" x14ac:dyDescent="0.3">
      <c r="B34" s="138" t="s">
        <v>18</v>
      </c>
      <c r="C34" s="139"/>
      <c r="D34" s="140">
        <f>(D28+D33)-(H28+H33)</f>
        <v>5289.7972551397506</v>
      </c>
      <c r="E34" s="62"/>
      <c r="F34" s="141"/>
      <c r="G34" s="62"/>
      <c r="H34" s="142"/>
      <c r="I34" s="62"/>
    </row>
    <row r="35" spans="1:9" ht="14" x14ac:dyDescent="0.2">
      <c r="B35" s="62"/>
      <c r="C35" s="62"/>
      <c r="D35" s="62"/>
      <c r="E35" s="62"/>
      <c r="F35" s="62"/>
      <c r="G35" s="62"/>
      <c r="H35" s="62"/>
      <c r="I35" s="62"/>
    </row>
    <row r="36" spans="1:9" ht="15" x14ac:dyDescent="0.2">
      <c r="A36" s="3"/>
      <c r="B36" s="3" t="s">
        <v>83</v>
      </c>
      <c r="C36" s="3"/>
      <c r="D36" s="3"/>
      <c r="E36" s="3"/>
      <c r="F36" s="3"/>
      <c r="G36" s="3"/>
      <c r="H36" s="3"/>
      <c r="I36" s="62"/>
    </row>
    <row r="37" spans="1:9" s="3" customFormat="1" ht="15" x14ac:dyDescent="0.2">
      <c r="B37" s="3" t="s">
        <v>17</v>
      </c>
    </row>
    <row r="38" spans="1:9" ht="15" x14ac:dyDescent="0.2">
      <c r="A38" s="3"/>
      <c r="B38" s="3" t="s">
        <v>84</v>
      </c>
      <c r="C38" s="3"/>
      <c r="D38" s="3"/>
      <c r="E38" s="3"/>
      <c r="F38" s="3"/>
      <c r="G38" s="3"/>
      <c r="H38" s="3"/>
      <c r="I38" s="62"/>
    </row>
    <row r="39" spans="1:9" ht="15" x14ac:dyDescent="0.2">
      <c r="A39" s="3"/>
      <c r="B39" s="3" t="s">
        <v>85</v>
      </c>
      <c r="C39" s="3"/>
      <c r="D39" s="3"/>
      <c r="E39" s="3"/>
      <c r="F39" s="3"/>
      <c r="G39" s="3"/>
      <c r="H39" s="3"/>
      <c r="I39" s="62"/>
    </row>
    <row r="40" spans="1:9" ht="14" x14ac:dyDescent="0.2">
      <c r="B40" s="62"/>
      <c r="C40" s="62"/>
      <c r="D40" s="62"/>
      <c r="E40" s="62"/>
      <c r="F40" s="62"/>
      <c r="G40" s="62"/>
      <c r="H40" s="62"/>
      <c r="I40" s="62"/>
    </row>
    <row r="41" spans="1:9" ht="14" x14ac:dyDescent="0.2">
      <c r="B41" s="62"/>
      <c r="C41" s="62"/>
      <c r="D41" s="62"/>
      <c r="E41" s="62"/>
      <c r="F41" s="62"/>
      <c r="G41" s="62"/>
      <c r="H41" s="62"/>
      <c r="I41" s="62"/>
    </row>
    <row r="42" spans="1:9" ht="14" x14ac:dyDescent="0.2">
      <c r="B42" s="62"/>
      <c r="C42" s="62"/>
      <c r="D42" s="62"/>
      <c r="E42" s="62"/>
      <c r="F42" s="62"/>
      <c r="G42" s="62"/>
      <c r="H42" s="62"/>
      <c r="I42" s="62"/>
    </row>
  </sheetData>
  <sheetProtection sheet="1" objects="1" scenarios="1" selectLockedCells="1"/>
  <protectedRanges>
    <protectedRange sqref="G18:G21" name="Range6"/>
    <protectedRange sqref="C20:C21" name="Range4"/>
    <protectedRange sqref="C13:C14" name="Range2"/>
    <protectedRange sqref="C10" name="Range1"/>
    <protectedRange sqref="C16" name="Range3"/>
    <protectedRange sqref="G8:G13" name="Range5"/>
  </protectedRanges>
  <pageMargins left="0.75" right="0.75" top="1" bottom="1" header="0.5" footer="0.5"/>
  <pageSetup scale="89"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58</vt:i4>
      </vt:variant>
    </vt:vector>
  </HeadingPairs>
  <TitlesOfParts>
    <vt:vector size="60" baseType="lpstr">
      <vt:lpstr>Calf Barn Sizing Calculator</vt:lpstr>
      <vt:lpstr>Partial Budget</vt:lpstr>
      <vt:lpstr>Acre_value</vt:lpstr>
      <vt:lpstr>Age_range</vt:lpstr>
      <vt:lpstr>AIAO_annual_payment</vt:lpstr>
      <vt:lpstr>AIAO_barn_cycle_days</vt:lpstr>
      <vt:lpstr>AIAO_building_cost</vt:lpstr>
      <vt:lpstr>AIAO_capacity_per_cycle</vt:lpstr>
      <vt:lpstr>AIAO_enteric_Rx_pct</vt:lpstr>
      <vt:lpstr>AIAO_est_resp_morbidity</vt:lpstr>
      <vt:lpstr>AIAO_mortality_pct</vt:lpstr>
      <vt:lpstr>AIAO_resp_Rx_pct</vt:lpstr>
      <vt:lpstr>Building_cost_per_space</vt:lpstr>
      <vt:lpstr>Calves_per_year</vt:lpstr>
      <vt:lpstr>CF_annual_payment</vt:lpstr>
      <vt:lpstr>CF_barn_cycle_days</vt:lpstr>
      <vt:lpstr>CF_building_cost</vt:lpstr>
      <vt:lpstr>CF_capacity_per_cycle</vt:lpstr>
      <vt:lpstr>CF_enteric_Rx_pct</vt:lpstr>
      <vt:lpstr>CF_est_resp_morbidity</vt:lpstr>
      <vt:lpstr>CF_mortality_pct</vt:lpstr>
      <vt:lpstr>CF_resp_Rx_pct</vt:lpstr>
      <vt:lpstr>Cleaning_cost_per_cycle</vt:lpstr>
      <vt:lpstr>Cost_enteric_Rx</vt:lpstr>
      <vt:lpstr>Cost_respiratory_Rx</vt:lpstr>
      <vt:lpstr>Cost_Rx__enteric</vt:lpstr>
      <vt:lpstr>days_indiv_pen</vt:lpstr>
      <vt:lpstr>days_on_milk</vt:lpstr>
      <vt:lpstr>delay_days</vt:lpstr>
      <vt:lpstr>downtime_days</vt:lpstr>
      <vt:lpstr>enter_per_day</vt:lpstr>
      <vt:lpstr>fresh_factor</vt:lpstr>
      <vt:lpstr>Future_milk_loss_resp_case</vt:lpstr>
      <vt:lpstr>herd_size</vt:lpstr>
      <vt:lpstr>herdsize</vt:lpstr>
      <vt:lpstr>Interest_rate</vt:lpstr>
      <vt:lpstr>live_calves_per_day</vt:lpstr>
      <vt:lpstr>max_calves_feeder</vt:lpstr>
      <vt:lpstr>Milk_price</vt:lpstr>
      <vt:lpstr>No_indiv_pens</vt:lpstr>
      <vt:lpstr>Number_acres</vt:lpstr>
      <vt:lpstr>Opt1_adj_factor</vt:lpstr>
      <vt:lpstr>Opt1_avg_calves_cycle</vt:lpstr>
      <vt:lpstr>Opt1_capacity</vt:lpstr>
      <vt:lpstr>Opt1_cycle_days</vt:lpstr>
      <vt:lpstr>Opt2_adj_factor</vt:lpstr>
      <vt:lpstr>Opt2_avg_calves_cycle</vt:lpstr>
      <vt:lpstr>Opt2_capacity</vt:lpstr>
      <vt:lpstr>Opt2_cycle_days</vt:lpstr>
      <vt:lpstr>Opt3_adj_factor</vt:lpstr>
      <vt:lpstr>Opt3_avg_calves_cycle</vt:lpstr>
      <vt:lpstr>Opt3_capacity</vt:lpstr>
      <vt:lpstr>Opt3_cycle_days</vt:lpstr>
      <vt:lpstr>Pct_raised</vt:lpstr>
      <vt:lpstr>pct_stillborn</vt:lpstr>
      <vt:lpstr>pref_barn_capacity</vt:lpstr>
      <vt:lpstr>propstillborn</vt:lpstr>
      <vt:lpstr>Repayment_period</vt:lpstr>
      <vt:lpstr>Value_future_milk_loss</vt:lpstr>
      <vt:lpstr>Value_heifer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Kenneth Nordlund</dc:creator>
  <cp:lastModifiedBy>THOMAS B BENNETT</cp:lastModifiedBy>
  <dcterms:created xsi:type="dcterms:W3CDTF">2019-04-12T21:08:39Z</dcterms:created>
  <dcterms:modified xsi:type="dcterms:W3CDTF">2023-12-20T15:05:26Z</dcterms:modified>
</cp:coreProperties>
</file>