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Z:\Macintosh HD\Users\tbb\Downloads\"/>
    </mc:Choice>
  </mc:AlternateContent>
  <bookViews>
    <workbookView xWindow="41580" yWindow="0" windowWidth="24735" windowHeight="22800"/>
  </bookViews>
  <sheets>
    <sheet name="SandMatConversionCalculator" sheetId="1" r:id="rId1"/>
    <sheet name="Sheet1" sheetId="2" r:id="rId2"/>
  </sheets>
  <definedNames>
    <definedName name="C_milk">SandMatConversionCalculator!$C$38</definedName>
    <definedName name="HerdSize">SandMatConversionCalculator!$C$29</definedName>
    <definedName name="Interest">SandMatConversionCalculator!$C$68</definedName>
    <definedName name="lbsDryMatterPerlbsMilk">Sheet1!$A$1:$A$2</definedName>
    <definedName name="ManureCost">SandMatConversionCalculator!$C$65</definedName>
    <definedName name="MilkIncr">SandMatConversionCalculator!$C$39</definedName>
    <definedName name="P_milk">SandMatConversionCalculator!$C$40</definedName>
    <definedName name="PayPeriod">SandMatConversionCalculator!$C$67</definedName>
    <definedName name="StallCost">SandMatConversionCalculator!$C$64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5" i="1" l="1"/>
  <c r="C40" i="1"/>
  <c r="D41" i="1"/>
  <c r="C45" i="1"/>
  <c r="C12" i="1"/>
  <c r="F11" i="1"/>
  <c r="C11" i="1"/>
  <c r="F14" i="1"/>
  <c r="C21" i="1"/>
  <c r="C50" i="1"/>
  <c r="C18" i="1"/>
  <c r="C55" i="1"/>
  <c r="C19" i="1"/>
  <c r="F13" i="1"/>
  <c r="F12" i="1"/>
  <c r="F18" i="1"/>
  <c r="C20" i="1"/>
  <c r="D66" i="1"/>
  <c r="D62" i="1"/>
  <c r="D56" i="1"/>
  <c r="D51" i="1"/>
  <c r="C61" i="1"/>
  <c r="F16" i="1"/>
  <c r="C23" i="1"/>
  <c r="D46" i="1"/>
  <c r="C16" i="1"/>
  <c r="C24" i="1"/>
  <c r="F23" i="1"/>
  <c r="F24" i="1"/>
  <c r="F25" i="1"/>
</calcChain>
</file>

<file path=xl/sharedStrings.xml><?xml version="1.0" encoding="utf-8"?>
<sst xmlns="http://schemas.openxmlformats.org/spreadsheetml/2006/main" count="154" uniqueCount="130">
  <si>
    <t xml:space="preserve">Total Reduced Incomes   </t>
  </si>
  <si>
    <t>Turnover rate before change (%)</t>
  </si>
  <si>
    <t>Cost of replacement heifer ($)</t>
  </si>
  <si>
    <t>Cull price per cow ($)</t>
  </si>
  <si>
    <t>Milk price ($ per lb)</t>
  </si>
  <si>
    <t>Repayment Period (years)</t>
    <phoneticPr fontId="2" type="noConversion"/>
  </si>
  <si>
    <t>Suggest 3-7 years</t>
    <phoneticPr fontId="2" type="noConversion"/>
  </si>
  <si>
    <t>Interest Rate of Loan</t>
    <phoneticPr fontId="2" type="noConversion"/>
  </si>
  <si>
    <t>Direct cost of a case of lameness ($ per case)</t>
  </si>
  <si>
    <t>Cost of stall changes ($)</t>
  </si>
  <si>
    <t>Cost of manure handling system change ($)</t>
  </si>
  <si>
    <t>Enter herd size</t>
  </si>
  <si>
    <t>Enter estimate for heifer purchase</t>
  </si>
  <si>
    <t>Enter average cull price</t>
  </si>
  <si>
    <t>Enter cost of proposed stall changes</t>
  </si>
  <si>
    <t>Enter cost of proposed manure handling changes</t>
  </si>
  <si>
    <t>POSITIVE IMPACTS</t>
  </si>
  <si>
    <t>Increased Costs</t>
  </si>
  <si>
    <t xml:space="preserve">Total Increased Incomes  </t>
  </si>
  <si>
    <t xml:space="preserve">Total Increased Costs  </t>
  </si>
  <si>
    <t>Reduced Costs</t>
  </si>
  <si>
    <t>Reduced Incomes</t>
  </si>
  <si>
    <t xml:space="preserve">Total Reduced Costs </t>
  </si>
  <si>
    <t>Partial Budget - Mattress to Sand Conversion</t>
  </si>
  <si>
    <t>School of Veterinary Medicine, University of Wisconsin-Madison</t>
  </si>
  <si>
    <t>Improved milk production</t>
  </si>
  <si>
    <t>Improved SCC premium</t>
  </si>
  <si>
    <t>Reduced number clinical mastitis cases</t>
  </si>
  <si>
    <t>Reduced number of lameness treatments</t>
  </si>
  <si>
    <t>Increased feed costs</t>
  </si>
  <si>
    <t>lbs</t>
  </si>
  <si>
    <t>Units</t>
  </si>
  <si>
    <t>%</t>
  </si>
  <si>
    <t>lbs, estimated change in milk yield per cow per year</t>
  </si>
  <si>
    <t>Expected reduction of 15-25%</t>
  </si>
  <si>
    <t>Estimated % reduction in SCC</t>
  </si>
  <si>
    <t>Bulk tank SCC</t>
  </si>
  <si>
    <t>scc/ml</t>
  </si>
  <si>
    <t>Projected SCC after change</t>
  </si>
  <si>
    <t>Milk production</t>
  </si>
  <si>
    <t xml:space="preserve"> </t>
  </si>
  <si>
    <t>Estimated reduction in clinical mastitis rate</t>
  </si>
  <si>
    <t>Projected clinical mastitis rate after change</t>
  </si>
  <si>
    <t>Current clinical mastitis rate, %</t>
  </si>
  <si>
    <t>Enter average # of clinical cases per 100 cows per year</t>
  </si>
  <si>
    <t>cases/100 cows</t>
  </si>
  <si>
    <t>Expected reduction of ~25-35%</t>
  </si>
  <si>
    <t>reduced cases of mastitis in herd per year</t>
  </si>
  <si>
    <t>Direct cost of a case of clinical mastitis</t>
  </si>
  <si>
    <t>Enter average cost to treat lameness</t>
  </si>
  <si>
    <t>Current lameness rate, %</t>
  </si>
  <si>
    <t>Enter average # of lameness treatments per 100 cows per year</t>
  </si>
  <si>
    <t>Estimated reduction in lameness treatment rate</t>
  </si>
  <si>
    <t>reduced cases of lameness in herd per year</t>
  </si>
  <si>
    <t>Projected clinical lameness rate after change</t>
  </si>
  <si>
    <t>reduced culls from herd per year</t>
  </si>
  <si>
    <t>Enter annual herd turnover rate</t>
  </si>
  <si>
    <t>Expected reduction in annual turnover rate</t>
  </si>
  <si>
    <t>Projected annual turnover rate after change</t>
  </si>
  <si>
    <t xml:space="preserve"> reduction in herd average SCC</t>
  </si>
  <si>
    <t>yr</t>
  </si>
  <si>
    <t>interest rate</t>
  </si>
  <si>
    <t>Total cost of conversion</t>
  </si>
  <si>
    <t>Cost of current bedding</t>
  </si>
  <si>
    <t>$/ton</t>
  </si>
  <si>
    <t>Clinical mastitis</t>
  </si>
  <si>
    <t>Clinical lameness</t>
  </si>
  <si>
    <t>Culling</t>
  </si>
  <si>
    <t>Financial Assumptions</t>
  </si>
  <si>
    <t>Herd Assumptions</t>
  </si>
  <si>
    <t>Instructions or reference values</t>
  </si>
  <si>
    <t>Cost of sand bedding</t>
  </si>
  <si>
    <t>Reduced cost of bedding on mattresses</t>
  </si>
  <si>
    <t>Reduction in cull cow sales</t>
  </si>
  <si>
    <t>Herd size</t>
  </si>
  <si>
    <t>Nigel B. Cook, MRCVS, Ken Nordlund, DVM, &amp; Rebecca Brotzman, DVM</t>
  </si>
  <si>
    <t>SCC premium per 1,000 SCC reduction</t>
  </si>
  <si>
    <t>Current annual bulk tank average SCC</t>
  </si>
  <si>
    <t>Estimate from creamery rates, usually $0.002-.004/cwt per 1,000 SCC</t>
  </si>
  <si>
    <t>Reduced cost of replacement heifers</t>
  </si>
  <si>
    <t>Lbs TMR dry matter per lb of milk</t>
  </si>
  <si>
    <t>Amortized cost of stall modifications</t>
  </si>
  <si>
    <t>Amortized cost of manure system modifications</t>
  </si>
  <si>
    <t>NEGATIVE ECONOMIC IMPACTS</t>
  </si>
  <si>
    <t>Increased Income</t>
  </si>
  <si>
    <t>Total Negative Impacts</t>
  </si>
  <si>
    <t xml:space="preserve"> Total Positive Impacts</t>
  </si>
  <si>
    <t>NET ANNUAL IMPACT</t>
  </si>
  <si>
    <t>Typical range $7-14 per ton</t>
  </si>
  <si>
    <t>Typical range 30-80 lb per stall per day</t>
  </si>
  <si>
    <t>lbs/stall/day</t>
  </si>
  <si>
    <t>Enter # stalls</t>
  </si>
  <si>
    <t># cows</t>
  </si>
  <si>
    <t>Number of stalls</t>
  </si>
  <si>
    <t># stalls</t>
  </si>
  <si>
    <t>Typical range $50-250 per ton</t>
  </si>
  <si>
    <t>Estimate organic bedding use at 5-15 lb per stall per day</t>
  </si>
  <si>
    <t>Enter average cost of treatment</t>
  </si>
  <si>
    <t>Current bedding usage</t>
  </si>
  <si>
    <t>Lbs of milk per cow per day, past yr</t>
  </si>
  <si>
    <t>Projected change in milk per cow per day</t>
  </si>
  <si>
    <t>Enter lbs milk per cow per day, past year</t>
  </si>
  <si>
    <t>Usual response 5-9 lbs per cow per day</t>
  </si>
  <si>
    <t>Projected milk yield per cow per day</t>
  </si>
  <si>
    <t>Fill in the BLUE cells in the Assumptions table below</t>
  </si>
  <si>
    <t>Expected reduction of clinical lameness by 25-50%</t>
  </si>
  <si>
    <t>Cost per lb of TMR dry matter</t>
  </si>
  <si>
    <t>Typical range $0.12-0.18</t>
  </si>
  <si>
    <t>lb DM/lb milk</t>
  </si>
  <si>
    <t>Anticipated sand usage per stall per day</t>
  </si>
  <si>
    <t>$ per lb milk</t>
  </si>
  <si>
    <t>$ per lb DM</t>
  </si>
  <si>
    <t>$/cwt</t>
  </si>
  <si>
    <t>Enter annual average bulk tank SCC</t>
  </si>
  <si>
    <t>$ per case</t>
  </si>
  <si>
    <t>$ per heifer</t>
  </si>
  <si>
    <t>$ per cull</t>
  </si>
  <si>
    <t>Enter expected reduction of 5-8 points</t>
  </si>
  <si>
    <t>To unprotect this sheet, click the Review tab above and select Unprotect sheet.</t>
  </si>
  <si>
    <t>Feed Costs</t>
  </si>
  <si>
    <t>Corn price</t>
  </si>
  <si>
    <t>$/bushel</t>
  </si>
  <si>
    <t>USDA Feed Cost prices 2007-2012 ($5.02 per bushel)</t>
  </si>
  <si>
    <t>Soybean meal price</t>
  </si>
  <si>
    <t>USDA Feed Cost prices 2007-2012 ($364.59 per ton)</t>
  </si>
  <si>
    <t>Alfalfa price</t>
  </si>
  <si>
    <t>USDA Feed Cost prices 2007-2012 ($111.46 per ton)</t>
  </si>
  <si>
    <t>Calculated from entered feed costs above</t>
  </si>
  <si>
    <t>Enter if known or calculate below</t>
  </si>
  <si>
    <t>Choose 0.33 for milk changes &gt;5 lb and 0.44 for milk changes 5 lb or less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</si>
</sst>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0.0"/>
    <numFmt numFmtId="165" formatCode="_(&quot;$&quot;* #,##0_);_(&quot;$&quot;* \(#,##0\);_(&quot;$&quot;* &quot;-&quot;??_);_(@_)"/>
    <numFmt numFmtId="166" formatCode="&quot;$&quot;#,##0"/>
    <numFmt numFmtId="167" formatCode="_(&quot;$&quot;* #,##0.000_);_(&quot;$&quot;* \(#,##0.000\);_(&quot;$&quot;* &quot;-&quot;??_);_(@_)"/>
    <numFmt numFmtId="168" formatCode="&quot;$&quot;#,##0.00"/>
  </numFmts>
  <fonts count="2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i/>
      <sz val="12"/>
      <name val="Calibri"/>
      <family val="2"/>
    </font>
    <font>
      <sz val="14"/>
      <color rgb="FFFFFFFF"/>
      <name val="Calibri"/>
      <family val="2"/>
    </font>
    <font>
      <sz val="14"/>
      <name val="Calibri"/>
      <family val="2"/>
    </font>
    <font>
      <sz val="12"/>
      <name val="Calibri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7CA7E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963634"/>
        <bgColor rgb="FF000000"/>
      </patternFill>
    </fill>
    <fill>
      <patternFill patternType="solid">
        <fgColor rgb="FF7CA7EC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C000"/>
        <bgColor rgb="FF000000"/>
      </patternFill>
    </fill>
  </fills>
  <borders count="66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dotted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theme="0" tint="-0.499984740745262"/>
      </bottom>
      <diagonal/>
    </border>
    <border>
      <left/>
      <right/>
      <top style="medium">
        <color auto="1"/>
      </top>
      <bottom style="thin">
        <color theme="0" tint="-0.499984740745262"/>
      </bottom>
      <diagonal/>
    </border>
    <border>
      <left/>
      <right style="medium">
        <color auto="1"/>
      </right>
      <top style="medium">
        <color auto="1"/>
      </top>
      <bottom style="thin">
        <color theme="0" tint="-0.499984740745262"/>
      </bottom>
      <diagonal/>
    </border>
    <border>
      <left style="medium">
        <color auto="1"/>
      </left>
      <right style="thin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auto="1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/>
      <top style="medium">
        <color auto="1"/>
      </top>
      <bottom style="thin">
        <color theme="0" tint="-0.499984740745262"/>
      </bottom>
      <diagonal/>
    </border>
    <border>
      <left style="medium">
        <color auto="1"/>
      </left>
      <right/>
      <top style="medium">
        <color auto="1"/>
      </top>
      <bottom style="thin">
        <color theme="0" tint="-0.499984740745262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theme="0" tint="-0.499984740745262"/>
      </bottom>
      <diagonal/>
    </border>
    <border>
      <left style="thin">
        <color auto="1"/>
      </left>
      <right/>
      <top style="thin">
        <color auto="1"/>
      </top>
      <bottom style="thin">
        <color theme="0" tint="-0.499984740745262"/>
      </bottom>
      <diagonal/>
    </border>
    <border>
      <left/>
      <right/>
      <top style="thin">
        <color auto="1"/>
      </top>
      <bottom style="thin">
        <color theme="0" tint="-0.499984740745262"/>
      </bottom>
      <diagonal/>
    </border>
    <border>
      <left/>
      <right style="medium">
        <color auto="1"/>
      </right>
      <top style="thin">
        <color auto="1"/>
      </top>
      <bottom style="thin">
        <color theme="0" tint="-0.499984740745262"/>
      </bottom>
      <diagonal/>
    </border>
    <border>
      <left/>
      <right style="hair">
        <color rgb="FF000000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rgb="FF808080"/>
      </bottom>
      <diagonal/>
    </border>
    <border>
      <left style="thin">
        <color auto="1"/>
      </left>
      <right style="thin">
        <color auto="1"/>
      </right>
      <top/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/>
      <right style="medium">
        <color auto="1"/>
      </right>
      <top/>
      <bottom style="thin">
        <color rgb="FF808080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180">
    <xf numFmtId="0" fontId="0" fillId="0" borderId="0" xfId="0"/>
    <xf numFmtId="0" fontId="8" fillId="0" borderId="0" xfId="0" applyFont="1" applyAlignment="1">
      <alignment vertical="center"/>
    </xf>
    <xf numFmtId="0" fontId="0" fillId="2" borderId="0" xfId="0" applyFill="1" applyBorder="1"/>
    <xf numFmtId="0" fontId="6" fillId="2" borderId="0" xfId="0" applyFont="1" applyFill="1" applyBorder="1" applyAlignment="1">
      <alignment horizontal="center"/>
    </xf>
    <xf numFmtId="0" fontId="9" fillId="0" borderId="0" xfId="0" applyFont="1"/>
    <xf numFmtId="0" fontId="9" fillId="0" borderId="0" xfId="0" applyFont="1" applyBorder="1"/>
    <xf numFmtId="0" fontId="0" fillId="5" borderId="0" xfId="0" applyFill="1"/>
    <xf numFmtId="0" fontId="0" fillId="5" borderId="0" xfId="0" applyFill="1" applyBorder="1"/>
    <xf numFmtId="0" fontId="0" fillId="0" borderId="0" xfId="0" applyBorder="1"/>
    <xf numFmtId="0" fontId="0" fillId="0" borderId="0" xfId="0" applyFill="1"/>
    <xf numFmtId="0" fontId="12" fillId="2" borderId="0" xfId="0" applyFont="1" applyFill="1" applyBorder="1"/>
    <xf numFmtId="0" fontId="9" fillId="5" borderId="0" xfId="0" applyFont="1" applyFill="1"/>
    <xf numFmtId="0" fontId="8" fillId="5" borderId="0" xfId="0" applyFont="1" applyFill="1" applyAlignment="1">
      <alignment vertical="center"/>
    </xf>
    <xf numFmtId="0" fontId="0" fillId="5" borderId="3" xfId="0" applyFill="1" applyBorder="1"/>
    <xf numFmtId="0" fontId="15" fillId="0" borderId="1" xfId="0" applyFont="1" applyBorder="1"/>
    <xf numFmtId="0" fontId="15" fillId="0" borderId="4" xfId="0" applyFont="1" applyBorder="1"/>
    <xf numFmtId="165" fontId="15" fillId="0" borderId="5" xfId="1" applyNumberFormat="1" applyFont="1" applyBorder="1"/>
    <xf numFmtId="165" fontId="15" fillId="0" borderId="3" xfId="1" applyNumberFormat="1" applyFont="1" applyBorder="1"/>
    <xf numFmtId="0" fontId="15" fillId="0" borderId="1" xfId="0" applyFont="1" applyBorder="1" applyAlignment="1">
      <alignment horizontal="right"/>
    </xf>
    <xf numFmtId="0" fontId="15" fillId="2" borderId="6" xfId="0" applyFont="1" applyFill="1" applyBorder="1"/>
    <xf numFmtId="0" fontId="15" fillId="0" borderId="25" xfId="0" applyFont="1" applyFill="1" applyBorder="1"/>
    <xf numFmtId="0" fontId="15" fillId="2" borderId="0" xfId="0" applyFont="1" applyFill="1" applyBorder="1"/>
    <xf numFmtId="0" fontId="15" fillId="4" borderId="0" xfId="0" applyFont="1" applyFill="1" applyBorder="1"/>
    <xf numFmtId="0" fontId="15" fillId="0" borderId="25" xfId="0" applyFont="1" applyBorder="1"/>
    <xf numFmtId="0" fontId="0" fillId="2" borderId="13" xfId="0" applyFill="1" applyBorder="1" applyAlignment="1">
      <alignment horizontal="left"/>
    </xf>
    <xf numFmtId="0" fontId="4" fillId="2" borderId="8" xfId="0" applyFont="1" applyFill="1" applyBorder="1"/>
    <xf numFmtId="0" fontId="15" fillId="0" borderId="3" xfId="0" applyFont="1" applyBorder="1"/>
    <xf numFmtId="0" fontId="15" fillId="6" borderId="11" xfId="0" applyFont="1" applyFill="1" applyBorder="1"/>
    <xf numFmtId="0" fontId="0" fillId="5" borderId="20" xfId="0" applyFill="1" applyBorder="1"/>
    <xf numFmtId="0" fontId="9" fillId="5" borderId="20" xfId="0" applyFont="1" applyFill="1" applyBorder="1"/>
    <xf numFmtId="0" fontId="8" fillId="5" borderId="20" xfId="0" applyFont="1" applyFill="1" applyBorder="1" applyAlignment="1">
      <alignment vertical="center"/>
    </xf>
    <xf numFmtId="0" fontId="0" fillId="5" borderId="20" xfId="0" applyFill="1" applyBorder="1" applyAlignment="1">
      <alignment horizontal="center"/>
    </xf>
    <xf numFmtId="0" fontId="7" fillId="2" borderId="0" xfId="0" applyFont="1" applyFill="1" applyBorder="1" applyAlignment="1"/>
    <xf numFmtId="0" fontId="5" fillId="2" borderId="6" xfId="0" applyFont="1" applyFill="1" applyBorder="1" applyAlignment="1"/>
    <xf numFmtId="0" fontId="15" fillId="5" borderId="0" xfId="0" applyFont="1" applyFill="1" applyBorder="1" applyAlignment="1">
      <alignment horizontal="right"/>
    </xf>
    <xf numFmtId="164" fontId="6" fillId="2" borderId="8" xfId="0" applyNumberFormat="1" applyFont="1" applyFill="1" applyBorder="1" applyAlignment="1">
      <alignment horizontal="center"/>
    </xf>
    <xf numFmtId="165" fontId="15" fillId="5" borderId="6" xfId="1" applyNumberFormat="1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17" fillId="6" borderId="10" xfId="0" applyFont="1" applyFill="1" applyBorder="1" applyAlignment="1">
      <alignment horizontal="center" wrapText="1"/>
    </xf>
    <xf numFmtId="165" fontId="17" fillId="6" borderId="2" xfId="1" applyNumberFormat="1" applyFont="1" applyFill="1" applyBorder="1" applyAlignment="1">
      <alignment horizontal="center"/>
    </xf>
    <xf numFmtId="0" fontId="13" fillId="3" borderId="10" xfId="0" applyFont="1" applyFill="1" applyBorder="1" applyAlignment="1">
      <alignment horizontal="right"/>
    </xf>
    <xf numFmtId="165" fontId="13" fillId="3" borderId="2" xfId="1" applyNumberFormat="1" applyFont="1" applyFill="1" applyBorder="1" applyAlignment="1">
      <alignment horizontal="center"/>
    </xf>
    <xf numFmtId="165" fontId="15" fillId="0" borderId="9" xfId="1" applyNumberFormat="1" applyFont="1" applyBorder="1" applyAlignment="1">
      <alignment horizontal="center"/>
    </xf>
    <xf numFmtId="0" fontId="15" fillId="0" borderId="26" xfId="0" applyFont="1" applyBorder="1" applyAlignment="1">
      <alignment horizontal="right"/>
    </xf>
    <xf numFmtId="165" fontId="15" fillId="0" borderId="27" xfId="1" applyNumberFormat="1" applyFont="1" applyBorder="1" applyAlignment="1">
      <alignment horizontal="center"/>
    </xf>
    <xf numFmtId="0" fontId="15" fillId="4" borderId="8" xfId="0" applyFont="1" applyFill="1" applyBorder="1"/>
    <xf numFmtId="0" fontId="15" fillId="4" borderId="9" xfId="0" applyFont="1" applyFill="1" applyBorder="1"/>
    <xf numFmtId="3" fontId="15" fillId="4" borderId="8" xfId="0" applyNumberFormat="1" applyFont="1" applyFill="1" applyBorder="1"/>
    <xf numFmtId="0" fontId="15" fillId="4" borderId="7" xfId="0" applyFont="1" applyFill="1" applyBorder="1" applyAlignment="1">
      <alignment horizontal="right"/>
    </xf>
    <xf numFmtId="0" fontId="17" fillId="6" borderId="15" xfId="0" applyFont="1" applyFill="1" applyBorder="1" applyAlignment="1">
      <alignment horizontal="center"/>
    </xf>
    <xf numFmtId="0" fontId="17" fillId="6" borderId="28" xfId="0" applyFont="1" applyFill="1" applyBorder="1" applyAlignment="1"/>
    <xf numFmtId="0" fontId="13" fillId="6" borderId="11" xfId="0" applyFont="1" applyFill="1" applyBorder="1" applyAlignment="1"/>
    <xf numFmtId="0" fontId="17" fillId="6" borderId="12" xfId="0" applyFont="1" applyFill="1" applyBorder="1"/>
    <xf numFmtId="0" fontId="17" fillId="6" borderId="0" xfId="0" applyFont="1" applyFill="1" applyBorder="1"/>
    <xf numFmtId="0" fontId="17" fillId="6" borderId="10" xfId="0" applyFont="1" applyFill="1" applyBorder="1" applyAlignment="1">
      <alignment horizontal="center"/>
    </xf>
    <xf numFmtId="0" fontId="15" fillId="0" borderId="35" xfId="0" applyFont="1" applyBorder="1"/>
    <xf numFmtId="0" fontId="15" fillId="0" borderId="20" xfId="0" applyFont="1" applyBorder="1"/>
    <xf numFmtId="0" fontId="15" fillId="0" borderId="36" xfId="0" applyFont="1" applyBorder="1"/>
    <xf numFmtId="0" fontId="15" fillId="0" borderId="37" xfId="0" applyFont="1" applyBorder="1" applyAlignment="1">
      <alignment horizontal="right"/>
    </xf>
    <xf numFmtId="0" fontId="15" fillId="8" borderId="3" xfId="0" applyFont="1" applyFill="1" applyBorder="1"/>
    <xf numFmtId="0" fontId="16" fillId="8" borderId="0" xfId="0" applyFont="1" applyFill="1" applyBorder="1"/>
    <xf numFmtId="0" fontId="16" fillId="8" borderId="8" xfId="0" applyFont="1" applyFill="1" applyBorder="1"/>
    <xf numFmtId="0" fontId="15" fillId="8" borderId="0" xfId="0" applyFont="1" applyFill="1" applyBorder="1"/>
    <xf numFmtId="0" fontId="15" fillId="8" borderId="30" xfId="0" applyFont="1" applyFill="1" applyBorder="1"/>
    <xf numFmtId="0" fontId="15" fillId="8" borderId="33" xfId="0" applyFont="1" applyFill="1" applyBorder="1"/>
    <xf numFmtId="3" fontId="15" fillId="8" borderId="18" xfId="0" applyNumberFormat="1" applyFont="1" applyFill="1" applyBorder="1"/>
    <xf numFmtId="3" fontId="15" fillId="8" borderId="29" xfId="0" applyNumberFormat="1" applyFont="1" applyFill="1" applyBorder="1"/>
    <xf numFmtId="0" fontId="16" fillId="8" borderId="13" xfId="0" applyFont="1" applyFill="1" applyBorder="1"/>
    <xf numFmtId="0" fontId="15" fillId="8" borderId="5" xfId="0" applyFont="1" applyFill="1" applyBorder="1"/>
    <xf numFmtId="0" fontId="15" fillId="8" borderId="16" xfId="0" applyFont="1" applyFill="1" applyBorder="1"/>
    <xf numFmtId="0" fontId="15" fillId="8" borderId="19" xfId="0" applyFont="1" applyFill="1" applyBorder="1" applyAlignment="1">
      <alignment horizontal="right"/>
    </xf>
    <xf numFmtId="0" fontId="11" fillId="8" borderId="4" xfId="0" applyFont="1" applyFill="1" applyBorder="1"/>
    <xf numFmtId="0" fontId="16" fillId="8" borderId="31" xfId="0" applyFont="1" applyFill="1" applyBorder="1"/>
    <xf numFmtId="1" fontId="15" fillId="8" borderId="30" xfId="0" applyNumberFormat="1" applyFont="1" applyFill="1" applyBorder="1"/>
    <xf numFmtId="1" fontId="15" fillId="8" borderId="21" xfId="0" applyNumberFormat="1" applyFont="1" applyFill="1" applyBorder="1"/>
    <xf numFmtId="0" fontId="16" fillId="8" borderId="34" xfId="0" applyFont="1" applyFill="1" applyBorder="1"/>
    <xf numFmtId="165" fontId="15" fillId="8" borderId="21" xfId="1" applyNumberFormat="1" applyFont="1" applyFill="1" applyBorder="1"/>
    <xf numFmtId="166" fontId="15" fillId="8" borderId="32" xfId="0" applyNumberFormat="1" applyFont="1" applyFill="1" applyBorder="1"/>
    <xf numFmtId="4" fontId="15" fillId="8" borderId="23" xfId="0" applyNumberFormat="1" applyFont="1" applyFill="1" applyBorder="1"/>
    <xf numFmtId="0" fontId="15" fillId="8" borderId="1" xfId="0" applyFont="1" applyFill="1" applyBorder="1"/>
    <xf numFmtId="3" fontId="15" fillId="8" borderId="19" xfId="0" applyNumberFormat="1" applyFont="1" applyFill="1" applyBorder="1"/>
    <xf numFmtId="1" fontId="15" fillId="4" borderId="8" xfId="0" applyNumberFormat="1" applyFont="1" applyFill="1" applyBorder="1"/>
    <xf numFmtId="0" fontId="15" fillId="8" borderId="38" xfId="0" applyFont="1" applyFill="1" applyBorder="1"/>
    <xf numFmtId="0" fontId="15" fillId="8" borderId="39" xfId="0" applyFont="1" applyFill="1" applyBorder="1"/>
    <xf numFmtId="0" fontId="15" fillId="8" borderId="40" xfId="0" applyFont="1" applyFill="1" applyBorder="1"/>
    <xf numFmtId="1" fontId="15" fillId="8" borderId="19" xfId="0" applyNumberFormat="1" applyFont="1" applyFill="1" applyBorder="1"/>
    <xf numFmtId="37" fontId="15" fillId="8" borderId="19" xfId="1" applyNumberFormat="1" applyFont="1" applyFill="1" applyBorder="1" applyAlignment="1">
      <alignment horizontal="right"/>
    </xf>
    <xf numFmtId="165" fontId="15" fillId="8" borderId="34" xfId="1" applyNumberFormat="1" applyFont="1" applyFill="1" applyBorder="1"/>
    <xf numFmtId="0" fontId="15" fillId="8" borderId="34" xfId="0" applyFont="1" applyFill="1" applyBorder="1"/>
    <xf numFmtId="0" fontId="15" fillId="0" borderId="41" xfId="0" applyFont="1" applyBorder="1"/>
    <xf numFmtId="0" fontId="15" fillId="7" borderId="17" xfId="0" applyFont="1" applyFill="1" applyBorder="1" applyProtection="1">
      <protection locked="0"/>
    </xf>
    <xf numFmtId="1" fontId="15" fillId="7" borderId="17" xfId="0" applyNumberFormat="1" applyFont="1" applyFill="1" applyBorder="1" applyProtection="1">
      <protection locked="0"/>
    </xf>
    <xf numFmtId="165" fontId="15" fillId="7" borderId="17" xfId="1" applyNumberFormat="1" applyFont="1" applyFill="1" applyBorder="1" applyProtection="1">
      <protection locked="0"/>
    </xf>
    <xf numFmtId="4" fontId="15" fillId="7" borderId="24" xfId="0" applyNumberFormat="1" applyFont="1" applyFill="1" applyBorder="1" applyProtection="1">
      <protection locked="0"/>
    </xf>
    <xf numFmtId="42" fontId="15" fillId="0" borderId="3" xfId="2" applyFont="1" applyBorder="1"/>
    <xf numFmtId="165" fontId="15" fillId="5" borderId="0" xfId="1" applyNumberFormat="1" applyFont="1" applyFill="1" applyBorder="1"/>
    <xf numFmtId="165" fontId="15" fillId="5" borderId="1" xfId="1" applyNumberFormat="1" applyFont="1" applyFill="1" applyBorder="1"/>
    <xf numFmtId="165" fontId="15" fillId="5" borderId="0" xfId="1" applyNumberFormat="1" applyFont="1" applyFill="1" applyBorder="1" applyAlignment="1">
      <alignment horizontal="center"/>
    </xf>
    <xf numFmtId="165" fontId="15" fillId="5" borderId="20" xfId="1" applyNumberFormat="1" applyFont="1" applyFill="1" applyBorder="1"/>
    <xf numFmtId="0" fontId="10" fillId="5" borderId="21" xfId="0" applyFont="1" applyFill="1" applyBorder="1" applyAlignment="1"/>
    <xf numFmtId="0" fontId="15" fillId="5" borderId="20" xfId="0" applyFont="1" applyFill="1" applyBorder="1" applyAlignment="1">
      <alignment horizontal="center"/>
    </xf>
    <xf numFmtId="0" fontId="17" fillId="5" borderId="20" xfId="0" applyFont="1" applyFill="1" applyBorder="1" applyAlignment="1">
      <alignment horizontal="center"/>
    </xf>
    <xf numFmtId="165" fontId="15" fillId="5" borderId="20" xfId="1" applyNumberFormat="1" applyFont="1" applyFill="1" applyBorder="1" applyAlignment="1">
      <alignment horizontal="center"/>
    </xf>
    <xf numFmtId="0" fontId="17" fillId="5" borderId="0" xfId="0" applyFont="1" applyFill="1" applyBorder="1" applyAlignment="1">
      <alignment horizontal="center"/>
    </xf>
    <xf numFmtId="165" fontId="17" fillId="5" borderId="20" xfId="1" applyNumberFormat="1" applyFont="1" applyFill="1" applyBorder="1" applyAlignment="1">
      <alignment horizontal="center"/>
    </xf>
    <xf numFmtId="0" fontId="15" fillId="0" borderId="44" xfId="0" applyFont="1" applyFill="1" applyBorder="1"/>
    <xf numFmtId="3" fontId="15" fillId="7" borderId="45" xfId="0" applyNumberFormat="1" applyFont="1" applyFill="1" applyBorder="1" applyProtection="1">
      <protection locked="0"/>
    </xf>
    <xf numFmtId="0" fontId="15" fillId="8" borderId="46" xfId="0" applyFont="1" applyFill="1" applyBorder="1"/>
    <xf numFmtId="0" fontId="16" fillId="8" borderId="46" xfId="0" applyFont="1" applyFill="1" applyBorder="1"/>
    <xf numFmtId="0" fontId="15" fillId="8" borderId="47" xfId="0" applyFont="1" applyFill="1" applyBorder="1"/>
    <xf numFmtId="0" fontId="15" fillId="0" borderId="48" xfId="0" applyFont="1" applyFill="1" applyBorder="1"/>
    <xf numFmtId="3" fontId="15" fillId="7" borderId="49" xfId="0" applyNumberFormat="1" applyFont="1" applyFill="1" applyBorder="1" applyProtection="1">
      <protection locked="0"/>
    </xf>
    <xf numFmtId="0" fontId="15" fillId="8" borderId="50" xfId="0" applyFont="1" applyFill="1" applyBorder="1"/>
    <xf numFmtId="0" fontId="16" fillId="8" borderId="49" xfId="0" applyFont="1" applyFill="1" applyBorder="1"/>
    <xf numFmtId="0" fontId="15" fillId="8" borderId="51" xfId="0" applyFont="1" applyFill="1" applyBorder="1"/>
    <xf numFmtId="0" fontId="15" fillId="7" borderId="49" xfId="0" applyFont="1" applyFill="1" applyBorder="1" applyProtection="1">
      <protection locked="0"/>
    </xf>
    <xf numFmtId="0" fontId="15" fillId="7" borderId="52" xfId="0" applyFont="1" applyFill="1" applyBorder="1" applyProtection="1">
      <protection locked="0"/>
    </xf>
    <xf numFmtId="0" fontId="15" fillId="7" borderId="50" xfId="0" applyFont="1" applyFill="1" applyBorder="1" applyProtection="1">
      <protection locked="0"/>
    </xf>
    <xf numFmtId="0" fontId="15" fillId="0" borderId="53" xfId="0" applyFont="1" applyBorder="1"/>
    <xf numFmtId="44" fontId="15" fillId="7" borderId="50" xfId="1" applyFont="1" applyFill="1" applyBorder="1" applyProtection="1">
      <protection locked="0"/>
    </xf>
    <xf numFmtId="44" fontId="15" fillId="8" borderId="50" xfId="1" applyFont="1" applyFill="1" applyBorder="1"/>
    <xf numFmtId="2" fontId="15" fillId="8" borderId="50" xfId="1" applyNumberFormat="1" applyFont="1" applyFill="1" applyBorder="1" applyAlignment="1">
      <alignment vertical="center"/>
    </xf>
    <xf numFmtId="4" fontId="15" fillId="7" borderId="52" xfId="0" applyNumberFormat="1" applyFont="1" applyFill="1" applyBorder="1" applyProtection="1">
      <protection locked="0"/>
    </xf>
    <xf numFmtId="4" fontId="15" fillId="8" borderId="49" xfId="0" applyNumberFormat="1" applyFont="1" applyFill="1" applyBorder="1"/>
    <xf numFmtId="0" fontId="15" fillId="0" borderId="48" xfId="0" applyFont="1" applyBorder="1"/>
    <xf numFmtId="3" fontId="15" fillId="7" borderId="52" xfId="0" applyNumberFormat="1" applyFont="1" applyFill="1" applyBorder="1" applyProtection="1">
      <protection locked="0"/>
    </xf>
    <xf numFmtId="0" fontId="15" fillId="8" borderId="49" xfId="0" applyFont="1" applyFill="1" applyBorder="1"/>
    <xf numFmtId="0" fontId="15" fillId="0" borderId="44" xfId="0" applyFont="1" applyBorder="1"/>
    <xf numFmtId="167" fontId="15" fillId="7" borderId="45" xfId="1" applyNumberFormat="1" applyFont="1" applyFill="1" applyBorder="1" applyProtection="1">
      <protection locked="0"/>
    </xf>
    <xf numFmtId="2" fontId="15" fillId="8" borderId="54" xfId="1" quotePrefix="1" applyNumberFormat="1" applyFont="1" applyFill="1" applyBorder="1"/>
    <xf numFmtId="0" fontId="15" fillId="0" borderId="55" xfId="0" applyFont="1" applyFill="1" applyBorder="1"/>
    <xf numFmtId="165" fontId="15" fillId="7" borderId="45" xfId="1" applyNumberFormat="1" applyFont="1" applyFill="1" applyBorder="1" applyProtection="1">
      <protection locked="0"/>
    </xf>
    <xf numFmtId="165" fontId="15" fillId="8" borderId="46" xfId="1" applyNumberFormat="1" applyFont="1" applyFill="1" applyBorder="1"/>
    <xf numFmtId="165" fontId="15" fillId="7" borderId="54" xfId="1" applyNumberFormat="1" applyFont="1" applyFill="1" applyBorder="1" applyProtection="1">
      <protection locked="0"/>
    </xf>
    <xf numFmtId="0" fontId="15" fillId="8" borderId="54" xfId="0" applyFont="1" applyFill="1" applyBorder="1"/>
    <xf numFmtId="165" fontId="15" fillId="8" borderId="54" xfId="1" applyNumberFormat="1" applyFont="1" applyFill="1" applyBorder="1"/>
    <xf numFmtId="165" fontId="15" fillId="7" borderId="52" xfId="1" applyNumberFormat="1" applyFont="1" applyFill="1" applyBorder="1" applyProtection="1">
      <protection locked="0"/>
    </xf>
    <xf numFmtId="165" fontId="15" fillId="8" borderId="49" xfId="1" applyNumberFormat="1" applyFont="1" applyFill="1" applyBorder="1"/>
    <xf numFmtId="0" fontId="15" fillId="0" borderId="56" xfId="0" applyFont="1" applyBorder="1"/>
    <xf numFmtId="3" fontId="15" fillId="7" borderId="57" xfId="0" applyNumberFormat="1" applyFont="1" applyFill="1" applyBorder="1" applyProtection="1">
      <protection locked="0"/>
    </xf>
    <xf numFmtId="3" fontId="15" fillId="8" borderId="57" xfId="0" applyNumberFormat="1" applyFont="1" applyFill="1" applyBorder="1"/>
    <xf numFmtId="0" fontId="16" fillId="8" borderId="58" xfId="0" applyFont="1" applyFill="1" applyBorder="1"/>
    <xf numFmtId="0" fontId="15" fillId="8" borderId="59" xfId="0" applyFont="1" applyFill="1" applyBorder="1"/>
    <xf numFmtId="0" fontId="15" fillId="2" borderId="0" xfId="0" applyFont="1" applyFill="1" applyBorder="1" applyAlignment="1">
      <alignment horizontal="center"/>
    </xf>
    <xf numFmtId="0" fontId="20" fillId="9" borderId="0" xfId="0" applyFont="1" applyFill="1" applyAlignment="1">
      <alignment horizontal="left"/>
    </xf>
    <xf numFmtId="0" fontId="0" fillId="10" borderId="0" xfId="0" applyFill="1"/>
    <xf numFmtId="0" fontId="0" fillId="10" borderId="8" xfId="0" applyFill="1" applyBorder="1"/>
    <xf numFmtId="0" fontId="0" fillId="10" borderId="3" xfId="0" applyFill="1" applyBorder="1"/>
    <xf numFmtId="0" fontId="21" fillId="11" borderId="61" xfId="0" applyFont="1" applyFill="1" applyBorder="1" applyAlignment="1">
      <alignment horizontal="center"/>
    </xf>
    <xf numFmtId="0" fontId="21" fillId="11" borderId="12" xfId="0" applyFont="1" applyFill="1" applyBorder="1"/>
    <xf numFmtId="0" fontId="22" fillId="11" borderId="9" xfId="0" applyFont="1" applyFill="1" applyBorder="1"/>
    <xf numFmtId="0" fontId="23" fillId="0" borderId="62" xfId="0" applyFont="1" applyBorder="1"/>
    <xf numFmtId="44" fontId="23" fillId="12" borderId="63" xfId="0" applyNumberFormat="1" applyFont="1" applyFill="1" applyBorder="1" applyProtection="1">
      <protection locked="0"/>
    </xf>
    <xf numFmtId="2" fontId="23" fillId="13" borderId="64" xfId="0" applyNumberFormat="1" applyFont="1" applyFill="1" applyBorder="1" applyAlignment="1">
      <alignment vertical="center"/>
    </xf>
    <xf numFmtId="0" fontId="20" fillId="13" borderId="64" xfId="0" applyFont="1" applyFill="1" applyBorder="1"/>
    <xf numFmtId="0" fontId="23" fillId="13" borderId="65" xfId="0" applyFont="1" applyFill="1" applyBorder="1"/>
    <xf numFmtId="0" fontId="23" fillId="14" borderId="7" xfId="0" applyFont="1" applyFill="1" applyBorder="1" applyAlignment="1">
      <alignment horizontal="right"/>
    </xf>
    <xf numFmtId="168" fontId="23" fillId="14" borderId="8" xfId="0" applyNumberFormat="1" applyFont="1" applyFill="1" applyBorder="1"/>
    <xf numFmtId="0" fontId="23" fillId="14" borderId="8" xfId="0" applyFont="1" applyFill="1" applyBorder="1"/>
    <xf numFmtId="0" fontId="23" fillId="14" borderId="9" xfId="0" applyFont="1" applyFill="1" applyBorder="1"/>
    <xf numFmtId="0" fontId="0" fillId="10" borderId="9" xfId="0" applyFill="1" applyBorder="1"/>
    <xf numFmtId="0" fontId="0" fillId="5" borderId="6" xfId="0" applyFill="1" applyBorder="1"/>
    <xf numFmtId="0" fontId="21" fillId="11" borderId="10" xfId="0" applyFont="1" applyFill="1" applyBorder="1" applyAlignment="1">
      <alignment horizontal="center"/>
    </xf>
    <xf numFmtId="0" fontId="21" fillId="11" borderId="60" xfId="0" applyFont="1" applyFill="1" applyBorder="1" applyAlignment="1">
      <alignment horizontal="center"/>
    </xf>
    <xf numFmtId="0" fontId="17" fillId="6" borderId="10" xfId="0" applyFont="1" applyFill="1" applyBorder="1" applyAlignment="1">
      <alignment horizontal="center"/>
    </xf>
    <xf numFmtId="0" fontId="17" fillId="6" borderId="11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7" fillId="6" borderId="7" xfId="0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/>
    </xf>
    <xf numFmtId="0" fontId="15" fillId="3" borderId="10" xfId="0" applyFont="1" applyFill="1" applyBorder="1" applyAlignment="1">
      <alignment horizontal="center"/>
    </xf>
    <xf numFmtId="0" fontId="15" fillId="3" borderId="11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/>
    </xf>
    <xf numFmtId="0" fontId="17" fillId="6" borderId="14" xfId="0" applyFont="1" applyFill="1" applyBorder="1" applyAlignment="1">
      <alignment horizontal="center"/>
    </xf>
    <xf numFmtId="0" fontId="17" fillId="6" borderId="15" xfId="0" applyFont="1" applyFill="1" applyBorder="1" applyAlignment="1">
      <alignment horizontal="center"/>
    </xf>
    <xf numFmtId="0" fontId="11" fillId="7" borderId="42" xfId="0" applyFont="1" applyFill="1" applyBorder="1" applyAlignment="1">
      <alignment horizontal="center"/>
    </xf>
    <xf numFmtId="0" fontId="10" fillId="7" borderId="43" xfId="0" applyFont="1" applyFill="1" applyBorder="1" applyAlignment="1">
      <alignment horizontal="center"/>
    </xf>
  </cellXfs>
  <cellStyles count="5">
    <cellStyle name="Currency" xfId="1" builtinId="4"/>
    <cellStyle name="Currency [0]" xfId="2" builtinId="7"/>
    <cellStyle name="Followed Hyperlink" xfId="4" builtinId="9" hidden="1"/>
    <cellStyle name="Hyperlink" xfId="3" builtinId="8" hidden="1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7CA7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thedairylandinitiative.vetmed.wisc.edu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1689100</xdr:colOff>
      <xdr:row>0</xdr:row>
      <xdr:rowOff>25400</xdr:rowOff>
    </xdr:from>
    <xdr:to>
      <xdr:col>5</xdr:col>
      <xdr:colOff>4484</xdr:colOff>
      <xdr:row>6</xdr:row>
      <xdr:rowOff>74195</xdr:rowOff>
    </xdr:to>
    <xdr:pic>
      <xdr:nvPicPr>
        <xdr:cNvPr id="3" name="Picture 2" descr="Dairyland_horiz_web_whtbkg_small.pn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3600" y="25400"/>
          <a:ext cx="2468284" cy="1242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7"/>
  <sheetViews>
    <sheetView tabSelected="1" workbookViewId="0">
      <selection activeCell="C73" sqref="C73"/>
    </sheetView>
  </sheetViews>
  <sheetFormatPr defaultColWidth="8.7109375" defaultRowHeight="12.75" x14ac:dyDescent="0.2"/>
  <cols>
    <col min="1" max="1" width="3" customWidth="1"/>
    <col min="2" max="2" width="53.7109375" customWidth="1"/>
    <col min="3" max="3" width="16.140625" customWidth="1"/>
    <col min="4" max="4" width="16.28515625" customWidth="1"/>
    <col min="5" max="5" width="60.42578125" customWidth="1"/>
    <col min="6" max="6" width="16.140625" customWidth="1"/>
  </cols>
  <sheetData>
    <row r="1" spans="1:10" ht="27" customHeight="1" x14ac:dyDescent="0.35">
      <c r="A1" s="6"/>
      <c r="B1" s="174" t="s">
        <v>23</v>
      </c>
      <c r="C1" s="174"/>
      <c r="D1" s="174"/>
      <c r="E1" s="6"/>
      <c r="F1" s="33"/>
      <c r="G1" s="13"/>
    </row>
    <row r="2" spans="1:10" ht="18" customHeight="1" x14ac:dyDescent="0.25">
      <c r="A2" s="6"/>
      <c r="B2" s="175" t="s">
        <v>75</v>
      </c>
      <c r="C2" s="175"/>
      <c r="D2" s="175"/>
      <c r="E2" s="6"/>
      <c r="F2" s="32"/>
      <c r="G2" s="13"/>
      <c r="H2" s="8"/>
    </row>
    <row r="3" spans="1:10" ht="17.25" customHeight="1" x14ac:dyDescent="0.25">
      <c r="A3" s="6"/>
      <c r="B3" s="175" t="s">
        <v>24</v>
      </c>
      <c r="C3" s="175"/>
      <c r="D3" s="175"/>
      <c r="E3" s="6"/>
      <c r="F3" s="32"/>
      <c r="G3" s="13"/>
      <c r="H3" s="8"/>
    </row>
    <row r="4" spans="1:10" ht="6.95" customHeight="1" x14ac:dyDescent="0.25">
      <c r="A4" s="6"/>
      <c r="B4" s="144"/>
      <c r="C4" s="144"/>
      <c r="D4" s="144"/>
      <c r="E4" s="6"/>
      <c r="F4" s="32"/>
      <c r="G4" s="13"/>
      <c r="H4" s="8"/>
    </row>
    <row r="5" spans="1:10" ht="15" customHeight="1" x14ac:dyDescent="0.25">
      <c r="A5" s="6"/>
      <c r="B5" s="145" t="s">
        <v>118</v>
      </c>
      <c r="C5" s="144"/>
      <c r="D5" s="144"/>
      <c r="E5" s="6"/>
      <c r="F5" s="32"/>
      <c r="G5" s="13"/>
      <c r="H5" s="8"/>
    </row>
    <row r="6" spans="1:10" ht="9.9499999999999993" customHeight="1" x14ac:dyDescent="0.2">
      <c r="A6" s="6"/>
      <c r="B6" s="24"/>
      <c r="C6" s="38"/>
      <c r="D6" s="37"/>
      <c r="E6" s="37"/>
      <c r="F6" s="32"/>
      <c r="G6" s="13"/>
    </row>
    <row r="7" spans="1:10" ht="13.35" customHeight="1" x14ac:dyDescent="0.25">
      <c r="A7" s="6"/>
      <c r="B7" s="178" t="s">
        <v>104</v>
      </c>
      <c r="C7" s="179"/>
      <c r="D7" s="100"/>
      <c r="E7" s="7"/>
      <c r="F7" s="32"/>
      <c r="G7" s="13"/>
      <c r="H7" s="8"/>
    </row>
    <row r="8" spans="1:10" ht="13.5" thickBot="1" x14ac:dyDescent="0.25">
      <c r="A8" s="7"/>
      <c r="B8" s="167"/>
      <c r="C8" s="167"/>
      <c r="D8" s="168"/>
      <c r="E8" s="169"/>
      <c r="F8" s="169"/>
      <c r="G8" s="13"/>
      <c r="H8" s="8"/>
    </row>
    <row r="9" spans="1:10" ht="16.5" thickBot="1" x14ac:dyDescent="0.3">
      <c r="A9" s="6"/>
      <c r="B9" s="172" t="s">
        <v>16</v>
      </c>
      <c r="C9" s="173"/>
      <c r="D9" s="101"/>
      <c r="E9" s="172" t="s">
        <v>83</v>
      </c>
      <c r="F9" s="173"/>
      <c r="G9" s="28"/>
      <c r="H9" s="8"/>
    </row>
    <row r="10" spans="1:10" ht="18" customHeight="1" thickBot="1" x14ac:dyDescent="0.35">
      <c r="A10" s="6"/>
      <c r="B10" s="170" t="s">
        <v>84</v>
      </c>
      <c r="C10" s="171"/>
      <c r="D10" s="102"/>
      <c r="E10" s="170" t="s">
        <v>17</v>
      </c>
      <c r="F10" s="171"/>
      <c r="G10" s="28"/>
    </row>
    <row r="11" spans="1:10" ht="15.75" x14ac:dyDescent="0.25">
      <c r="A11" s="6"/>
      <c r="B11" s="14" t="s">
        <v>25</v>
      </c>
      <c r="C11" s="17">
        <f>C29*MilkIncr*365*C35</f>
        <v>372300</v>
      </c>
      <c r="D11" s="99"/>
      <c r="E11" s="56" t="s">
        <v>29</v>
      </c>
      <c r="F11" s="17">
        <f>C29*MilkIncr*365*C36*C37</f>
        <v>108405</v>
      </c>
      <c r="G11" s="28"/>
    </row>
    <row r="12" spans="1:10" ht="15.75" x14ac:dyDescent="0.25">
      <c r="A12" s="6"/>
      <c r="B12" s="14" t="s">
        <v>26</v>
      </c>
      <c r="C12" s="17">
        <f>(C29*(C40*365/100))*(((C43-C45)/1000)*C42)</f>
        <v>56502</v>
      </c>
      <c r="D12" s="96"/>
      <c r="E12" s="57" t="s">
        <v>81</v>
      </c>
      <c r="F12" s="17">
        <f>PMT(Interest,PayPeriod,StallCost)*-1</f>
        <v>92389.919251307248</v>
      </c>
      <c r="G12" s="28"/>
      <c r="I12" s="8"/>
      <c r="J12" s="8"/>
    </row>
    <row r="13" spans="1:10" ht="15.75" x14ac:dyDescent="0.25">
      <c r="A13" s="6"/>
      <c r="B13" s="14"/>
      <c r="C13" s="26"/>
      <c r="D13" s="96"/>
      <c r="E13" s="57" t="s">
        <v>82</v>
      </c>
      <c r="F13" s="95">
        <f>PMT(Interest,PayPeriod,ManureCost)*-1</f>
        <v>138584.87887696087</v>
      </c>
      <c r="G13" s="28"/>
    </row>
    <row r="14" spans="1:10" ht="15.75" x14ac:dyDescent="0.25">
      <c r="A14" s="6"/>
      <c r="B14" s="15"/>
      <c r="C14" s="16"/>
      <c r="D14" s="97"/>
      <c r="E14" s="58" t="s">
        <v>71</v>
      </c>
      <c r="F14" s="16">
        <f>((C30*C33*365)/2000)*C34</f>
        <v>91250</v>
      </c>
      <c r="G14" s="28"/>
    </row>
    <row r="15" spans="1:10" ht="0.75" hidden="1" customHeight="1" thickBot="1" x14ac:dyDescent="0.3">
      <c r="A15" s="6"/>
      <c r="B15" s="14"/>
      <c r="C15" s="17"/>
      <c r="D15" s="96"/>
      <c r="E15" s="57"/>
      <c r="F15" s="17"/>
      <c r="G15" s="28"/>
    </row>
    <row r="16" spans="1:10" s="4" customFormat="1" ht="16.5" customHeight="1" thickBot="1" x14ac:dyDescent="0.3">
      <c r="A16" s="11"/>
      <c r="B16" s="18" t="s">
        <v>18</v>
      </c>
      <c r="C16" s="43">
        <f>SUM(C11:C14)</f>
        <v>428802</v>
      </c>
      <c r="D16" s="103"/>
      <c r="E16" s="59" t="s">
        <v>19</v>
      </c>
      <c r="F16" s="43">
        <f>SUM(F11:F14)</f>
        <v>430629.7981282681</v>
      </c>
      <c r="G16" s="29"/>
      <c r="H16" s="5"/>
    </row>
    <row r="17" spans="1:7" ht="18" customHeight="1" thickBot="1" x14ac:dyDescent="0.35">
      <c r="A17" s="6"/>
      <c r="B17" s="165" t="s">
        <v>20</v>
      </c>
      <c r="C17" s="166"/>
      <c r="D17" s="104"/>
      <c r="E17" s="165" t="s">
        <v>21</v>
      </c>
      <c r="F17" s="166"/>
      <c r="G17" s="28"/>
    </row>
    <row r="18" spans="1:7" ht="15.75" x14ac:dyDescent="0.25">
      <c r="A18" s="6"/>
      <c r="B18" s="14" t="s">
        <v>27</v>
      </c>
      <c r="C18" s="17">
        <f>HerdSize*((C48-C50)/100)*C47</f>
        <v>17550</v>
      </c>
      <c r="D18" s="99"/>
      <c r="E18" s="14" t="s">
        <v>73</v>
      </c>
      <c r="F18" s="17">
        <f>C29*(C60/100)*C58</f>
        <v>54000</v>
      </c>
      <c r="G18" s="28"/>
    </row>
    <row r="19" spans="1:7" ht="15.75" x14ac:dyDescent="0.25">
      <c r="A19" s="6"/>
      <c r="B19" s="14" t="s">
        <v>28</v>
      </c>
      <c r="C19" s="17">
        <f>HerdSize*((C53-C55)/100)*C52</f>
        <v>13000</v>
      </c>
      <c r="D19" s="96"/>
      <c r="E19" s="14"/>
      <c r="F19" s="17"/>
      <c r="G19" s="28"/>
    </row>
    <row r="20" spans="1:7" ht="15.75" x14ac:dyDescent="0.25">
      <c r="A20" s="6"/>
      <c r="B20" s="14" t="s">
        <v>79</v>
      </c>
      <c r="C20" s="17">
        <f>C29*(C60/100)*C57</f>
        <v>108000</v>
      </c>
      <c r="D20" s="96"/>
      <c r="E20" s="14"/>
      <c r="F20" s="17"/>
      <c r="G20" s="28"/>
    </row>
    <row r="21" spans="1:7" ht="15.75" x14ac:dyDescent="0.25">
      <c r="A21" s="6"/>
      <c r="B21" s="14" t="s">
        <v>72</v>
      </c>
      <c r="C21" s="17">
        <f>((C30*C31*365)/2000)*C32</f>
        <v>273750</v>
      </c>
      <c r="D21" s="96"/>
      <c r="E21" s="14"/>
      <c r="F21" s="17"/>
      <c r="G21" s="28"/>
    </row>
    <row r="22" spans="1:7" ht="15.75" x14ac:dyDescent="0.25">
      <c r="A22" s="6"/>
      <c r="B22" s="15"/>
      <c r="C22" s="16"/>
      <c r="D22" s="99"/>
      <c r="E22" s="15"/>
      <c r="F22" s="16"/>
      <c r="G22" s="28"/>
    </row>
    <row r="23" spans="1:7" s="4" customFormat="1" ht="15.95" customHeight="1" thickBot="1" x14ac:dyDescent="0.3">
      <c r="A23" s="11"/>
      <c r="B23" s="18" t="s">
        <v>22</v>
      </c>
      <c r="C23" s="45">
        <f>SUM(C18:C22)</f>
        <v>412300</v>
      </c>
      <c r="D23" s="98"/>
      <c r="E23" s="44" t="s">
        <v>0</v>
      </c>
      <c r="F23" s="43">
        <f>SUM(F18)</f>
        <v>54000</v>
      </c>
      <c r="G23" s="29"/>
    </row>
    <row r="24" spans="1:7" s="1" customFormat="1" ht="18" customHeight="1" thickBot="1" x14ac:dyDescent="0.35">
      <c r="A24" s="12"/>
      <c r="B24" s="39" t="s">
        <v>86</v>
      </c>
      <c r="C24" s="40">
        <f>C16+C23</f>
        <v>841102</v>
      </c>
      <c r="D24" s="105"/>
      <c r="E24" s="39" t="s">
        <v>85</v>
      </c>
      <c r="F24" s="40">
        <f>F16+F23</f>
        <v>484629.7981282681</v>
      </c>
      <c r="G24" s="30"/>
    </row>
    <row r="25" spans="1:7" ht="19.5" thickBot="1" x14ac:dyDescent="0.35">
      <c r="A25" s="6"/>
      <c r="B25" s="19"/>
      <c r="C25" s="10"/>
      <c r="D25" s="10"/>
      <c r="E25" s="41" t="s">
        <v>87</v>
      </c>
      <c r="F25" s="42">
        <f>C24-F24</f>
        <v>356472.2018717319</v>
      </c>
      <c r="G25" s="28"/>
    </row>
    <row r="26" spans="1:7" ht="15.75" x14ac:dyDescent="0.25">
      <c r="A26" s="6"/>
      <c r="B26" s="21"/>
      <c r="C26" s="10"/>
      <c r="D26" s="10"/>
      <c r="E26" s="34"/>
      <c r="F26" s="36"/>
      <c r="G26" s="13"/>
    </row>
    <row r="27" spans="1:7" ht="13.35" customHeight="1" thickBot="1" x14ac:dyDescent="0.35">
      <c r="A27" s="6"/>
      <c r="B27" s="25"/>
      <c r="C27" s="2"/>
      <c r="D27" s="2"/>
      <c r="E27" s="3"/>
      <c r="F27" s="35"/>
      <c r="G27" s="13"/>
    </row>
    <row r="28" spans="1:7" ht="19.5" thickBot="1" x14ac:dyDescent="0.35">
      <c r="A28" s="6"/>
      <c r="B28" s="176" t="s">
        <v>69</v>
      </c>
      <c r="C28" s="177"/>
      <c r="D28" s="50" t="s">
        <v>31</v>
      </c>
      <c r="E28" s="51" t="s">
        <v>70</v>
      </c>
      <c r="F28" s="52"/>
      <c r="G28" s="28"/>
    </row>
    <row r="29" spans="1:7" ht="15.75" x14ac:dyDescent="0.25">
      <c r="A29" s="6"/>
      <c r="B29" s="106" t="s">
        <v>74</v>
      </c>
      <c r="C29" s="107">
        <v>1000</v>
      </c>
      <c r="D29" s="108" t="s">
        <v>92</v>
      </c>
      <c r="E29" s="109" t="s">
        <v>11</v>
      </c>
      <c r="F29" s="110"/>
      <c r="G29" s="28"/>
    </row>
    <row r="30" spans="1:7" ht="15.75" x14ac:dyDescent="0.25">
      <c r="A30" s="6"/>
      <c r="B30" s="111" t="s">
        <v>93</v>
      </c>
      <c r="C30" s="112">
        <v>1000</v>
      </c>
      <c r="D30" s="113" t="s">
        <v>94</v>
      </c>
      <c r="E30" s="114" t="s">
        <v>91</v>
      </c>
      <c r="F30" s="115"/>
      <c r="G30" s="28"/>
    </row>
    <row r="31" spans="1:7" ht="15.75" x14ac:dyDescent="0.25">
      <c r="A31" s="6"/>
      <c r="B31" s="111" t="s">
        <v>98</v>
      </c>
      <c r="C31" s="116">
        <v>10</v>
      </c>
      <c r="D31" s="113" t="s">
        <v>90</v>
      </c>
      <c r="E31" s="114" t="s">
        <v>96</v>
      </c>
      <c r="F31" s="115"/>
      <c r="G31" s="28"/>
    </row>
    <row r="32" spans="1:7" ht="15.75" x14ac:dyDescent="0.25">
      <c r="A32" s="6"/>
      <c r="B32" s="111" t="s">
        <v>63</v>
      </c>
      <c r="C32" s="116">
        <v>150</v>
      </c>
      <c r="D32" s="113" t="s">
        <v>64</v>
      </c>
      <c r="E32" s="114" t="s">
        <v>95</v>
      </c>
      <c r="F32" s="115"/>
      <c r="G32" s="28"/>
    </row>
    <row r="33" spans="1:7" ht="15.75" x14ac:dyDescent="0.25">
      <c r="A33" s="6"/>
      <c r="B33" s="111" t="s">
        <v>109</v>
      </c>
      <c r="C33" s="117">
        <v>50</v>
      </c>
      <c r="D33" s="113" t="s">
        <v>90</v>
      </c>
      <c r="E33" s="114" t="s">
        <v>89</v>
      </c>
      <c r="F33" s="115"/>
      <c r="G33" s="28"/>
    </row>
    <row r="34" spans="1:7" ht="15.75" x14ac:dyDescent="0.25">
      <c r="A34" s="6"/>
      <c r="B34" s="111" t="s">
        <v>71</v>
      </c>
      <c r="C34" s="118">
        <v>10</v>
      </c>
      <c r="D34" s="113" t="s">
        <v>64</v>
      </c>
      <c r="E34" s="114" t="s">
        <v>88</v>
      </c>
      <c r="F34" s="115"/>
      <c r="G34" s="28"/>
    </row>
    <row r="35" spans="1:7" ht="15.75" x14ac:dyDescent="0.25">
      <c r="A35" s="6"/>
      <c r="B35" s="119" t="s">
        <v>4</v>
      </c>
      <c r="C35" s="120">
        <v>0.17</v>
      </c>
      <c r="D35" s="121" t="s">
        <v>110</v>
      </c>
      <c r="E35" s="114" t="s">
        <v>107</v>
      </c>
      <c r="F35" s="115"/>
      <c r="G35" s="28"/>
    </row>
    <row r="36" spans="1:7" ht="15.75" x14ac:dyDescent="0.25">
      <c r="A36" s="6"/>
      <c r="B36" s="119" t="s">
        <v>80</v>
      </c>
      <c r="C36" s="120">
        <v>0.33</v>
      </c>
      <c r="D36" s="122" t="s">
        <v>108</v>
      </c>
      <c r="E36" s="114" t="s">
        <v>129</v>
      </c>
      <c r="F36" s="115"/>
      <c r="G36" s="28"/>
    </row>
    <row r="37" spans="1:7" ht="15.75" x14ac:dyDescent="0.25">
      <c r="A37" s="6"/>
      <c r="B37" s="111" t="s">
        <v>106</v>
      </c>
      <c r="C37" s="123">
        <v>0.15</v>
      </c>
      <c r="D37" s="124" t="s">
        <v>111</v>
      </c>
      <c r="E37" s="114" t="s">
        <v>128</v>
      </c>
      <c r="F37" s="115"/>
      <c r="G37" s="31"/>
    </row>
    <row r="38" spans="1:7" ht="15.75" x14ac:dyDescent="0.25">
      <c r="A38" s="6"/>
      <c r="B38" s="125" t="s">
        <v>99</v>
      </c>
      <c r="C38" s="126">
        <v>80</v>
      </c>
      <c r="D38" s="127" t="s">
        <v>30</v>
      </c>
      <c r="E38" s="114" t="s">
        <v>101</v>
      </c>
      <c r="F38" s="115"/>
      <c r="G38" s="28"/>
    </row>
    <row r="39" spans="1:7" ht="15.75" x14ac:dyDescent="0.25">
      <c r="A39" s="6"/>
      <c r="B39" s="23" t="s">
        <v>100</v>
      </c>
      <c r="C39" s="91">
        <v>6</v>
      </c>
      <c r="D39" s="64" t="s">
        <v>30</v>
      </c>
      <c r="E39" s="61" t="s">
        <v>102</v>
      </c>
      <c r="F39" s="65"/>
      <c r="G39" s="28"/>
    </row>
    <row r="40" spans="1:7" ht="15.75" x14ac:dyDescent="0.25">
      <c r="A40" s="6"/>
      <c r="B40" s="80"/>
      <c r="C40" s="81">
        <f>C38+C39</f>
        <v>86</v>
      </c>
      <c r="D40" s="63" t="s">
        <v>30</v>
      </c>
      <c r="E40" s="76" t="s">
        <v>103</v>
      </c>
      <c r="F40" s="60"/>
      <c r="G40" s="28"/>
    </row>
    <row r="41" spans="1:7" ht="16.5" thickBot="1" x14ac:dyDescent="0.3">
      <c r="A41" s="6"/>
      <c r="B41" s="49" t="s">
        <v>39</v>
      </c>
      <c r="C41" s="46"/>
      <c r="D41" s="82">
        <f>C39*365*0.92</f>
        <v>2014.8000000000002</v>
      </c>
      <c r="E41" s="46" t="s">
        <v>33</v>
      </c>
      <c r="F41" s="47"/>
      <c r="G41" s="28"/>
    </row>
    <row r="42" spans="1:7" ht="15.75" x14ac:dyDescent="0.25">
      <c r="A42" s="6"/>
      <c r="B42" s="128" t="s">
        <v>76</v>
      </c>
      <c r="C42" s="129">
        <v>3.0000000000000001E-3</v>
      </c>
      <c r="D42" s="130" t="s">
        <v>112</v>
      </c>
      <c r="E42" s="109" t="s">
        <v>78</v>
      </c>
      <c r="F42" s="110"/>
      <c r="G42" s="28"/>
    </row>
    <row r="43" spans="1:7" ht="15.75" x14ac:dyDescent="0.25">
      <c r="A43" s="6"/>
      <c r="B43" s="125" t="s">
        <v>77</v>
      </c>
      <c r="C43" s="126">
        <v>300000</v>
      </c>
      <c r="D43" s="113" t="s">
        <v>37</v>
      </c>
      <c r="E43" s="114" t="s">
        <v>113</v>
      </c>
      <c r="F43" s="115"/>
      <c r="G43" s="28"/>
    </row>
    <row r="44" spans="1:7" ht="18" customHeight="1" x14ac:dyDescent="0.25">
      <c r="A44" s="6"/>
      <c r="B44" s="23" t="s">
        <v>35</v>
      </c>
      <c r="C44" s="91">
        <v>20</v>
      </c>
      <c r="D44" s="64" t="s">
        <v>32</v>
      </c>
      <c r="E44" s="73" t="s">
        <v>34</v>
      </c>
      <c r="F44" s="65"/>
      <c r="G44" s="28"/>
    </row>
    <row r="45" spans="1:7" ht="15.75" x14ac:dyDescent="0.25">
      <c r="A45" s="7"/>
      <c r="B45" s="83" t="s">
        <v>40</v>
      </c>
      <c r="C45" s="67">
        <f>C43-(C43*C44/100)</f>
        <v>240000</v>
      </c>
      <c r="D45" s="84" t="s">
        <v>37</v>
      </c>
      <c r="E45" s="76" t="s">
        <v>38</v>
      </c>
      <c r="F45" s="60"/>
      <c r="G45" s="28"/>
    </row>
    <row r="46" spans="1:7" ht="16.5" thickBot="1" x14ac:dyDescent="0.3">
      <c r="A46" s="6"/>
      <c r="B46" s="49" t="s">
        <v>36</v>
      </c>
      <c r="C46" s="46"/>
      <c r="D46" s="48">
        <f>+C43-C45</f>
        <v>60000</v>
      </c>
      <c r="E46" s="46" t="s">
        <v>59</v>
      </c>
      <c r="F46" s="47"/>
      <c r="G46" s="28"/>
    </row>
    <row r="47" spans="1:7" ht="15.75" x14ac:dyDescent="0.25">
      <c r="A47" s="6"/>
      <c r="B47" s="131" t="s">
        <v>48</v>
      </c>
      <c r="C47" s="132">
        <v>90</v>
      </c>
      <c r="D47" s="133" t="s">
        <v>114</v>
      </c>
      <c r="E47" s="109" t="s">
        <v>97</v>
      </c>
      <c r="F47" s="110"/>
      <c r="G47" s="28"/>
    </row>
    <row r="48" spans="1:7" ht="15.75" x14ac:dyDescent="0.25">
      <c r="A48" s="6"/>
      <c r="B48" s="111" t="s">
        <v>43</v>
      </c>
      <c r="C48" s="117">
        <v>65</v>
      </c>
      <c r="D48" s="127" t="s">
        <v>45</v>
      </c>
      <c r="E48" s="114" t="s">
        <v>44</v>
      </c>
      <c r="F48" s="115"/>
      <c r="G48" s="28"/>
    </row>
    <row r="49" spans="1:7" ht="15.75" x14ac:dyDescent="0.25">
      <c r="A49" s="6"/>
      <c r="B49" s="20" t="s">
        <v>41</v>
      </c>
      <c r="C49" s="92">
        <v>30</v>
      </c>
      <c r="D49" s="74" t="s">
        <v>32</v>
      </c>
      <c r="E49" s="73" t="s">
        <v>46</v>
      </c>
      <c r="F49" s="65"/>
      <c r="G49" s="28"/>
    </row>
    <row r="50" spans="1:7" ht="15.75" x14ac:dyDescent="0.25">
      <c r="A50" s="6"/>
      <c r="B50" s="70"/>
      <c r="C50" s="86">
        <f>+C48-(C48*C49/100)</f>
        <v>45.5</v>
      </c>
      <c r="D50" s="63" t="s">
        <v>45</v>
      </c>
      <c r="E50" s="76" t="s">
        <v>42</v>
      </c>
      <c r="F50" s="85"/>
      <c r="G50" s="28"/>
    </row>
    <row r="51" spans="1:7" ht="16.5" thickBot="1" x14ac:dyDescent="0.3">
      <c r="A51" s="6"/>
      <c r="B51" s="49" t="s">
        <v>65</v>
      </c>
      <c r="C51" s="82"/>
      <c r="D51" s="46">
        <f>C29*(C48-C50)/100</f>
        <v>195</v>
      </c>
      <c r="E51" s="46" t="s">
        <v>47</v>
      </c>
      <c r="F51" s="47"/>
      <c r="G51" s="28"/>
    </row>
    <row r="52" spans="1:7" ht="15.75" x14ac:dyDescent="0.25">
      <c r="A52" s="6"/>
      <c r="B52" s="128" t="s">
        <v>8</v>
      </c>
      <c r="C52" s="134">
        <v>50</v>
      </c>
      <c r="D52" s="135" t="s">
        <v>114</v>
      </c>
      <c r="E52" s="109" t="s">
        <v>49</v>
      </c>
      <c r="F52" s="110"/>
      <c r="G52" s="28"/>
    </row>
    <row r="53" spans="1:7" ht="15.75" x14ac:dyDescent="0.25">
      <c r="A53" s="6"/>
      <c r="B53" s="119" t="s">
        <v>50</v>
      </c>
      <c r="C53" s="118">
        <v>65</v>
      </c>
      <c r="D53" s="113" t="s">
        <v>45</v>
      </c>
      <c r="E53" s="114" t="s">
        <v>51</v>
      </c>
      <c r="F53" s="115"/>
      <c r="G53" s="28"/>
    </row>
    <row r="54" spans="1:7" ht="15.75" x14ac:dyDescent="0.25">
      <c r="A54" s="6"/>
      <c r="B54" s="23" t="s">
        <v>52</v>
      </c>
      <c r="C54" s="92">
        <v>40</v>
      </c>
      <c r="D54" s="75" t="s">
        <v>32</v>
      </c>
      <c r="E54" s="73" t="s">
        <v>105</v>
      </c>
      <c r="F54" s="65"/>
      <c r="G54" s="28"/>
    </row>
    <row r="55" spans="1:7" ht="15.75" x14ac:dyDescent="0.25">
      <c r="A55" s="6"/>
      <c r="B55" s="70"/>
      <c r="C55" s="87">
        <f>+C53-(C53*C54/100)</f>
        <v>39</v>
      </c>
      <c r="D55" s="88" t="s">
        <v>45</v>
      </c>
      <c r="E55" s="76" t="s">
        <v>54</v>
      </c>
      <c r="F55" s="60"/>
      <c r="G55" s="28"/>
    </row>
    <row r="56" spans="1:7" ht="16.5" thickBot="1" x14ac:dyDescent="0.3">
      <c r="A56" s="6"/>
      <c r="B56" s="49" t="s">
        <v>66</v>
      </c>
      <c r="C56" s="22" t="s">
        <v>40</v>
      </c>
      <c r="D56" s="46">
        <f>C29*(C53-C55)/100</f>
        <v>260</v>
      </c>
      <c r="E56" s="46" t="s">
        <v>53</v>
      </c>
      <c r="F56" s="47"/>
      <c r="G56" s="28"/>
    </row>
    <row r="57" spans="1:7" ht="15.75" x14ac:dyDescent="0.25">
      <c r="A57" s="6"/>
      <c r="B57" s="128" t="s">
        <v>2</v>
      </c>
      <c r="C57" s="132">
        <v>1800</v>
      </c>
      <c r="D57" s="136" t="s">
        <v>115</v>
      </c>
      <c r="E57" s="109" t="s">
        <v>12</v>
      </c>
      <c r="F57" s="110"/>
      <c r="G57" s="28"/>
    </row>
    <row r="58" spans="1:7" ht="15.75" x14ac:dyDescent="0.25">
      <c r="A58" s="6"/>
      <c r="B58" s="125" t="s">
        <v>3</v>
      </c>
      <c r="C58" s="137">
        <v>900</v>
      </c>
      <c r="D58" s="138" t="s">
        <v>116</v>
      </c>
      <c r="E58" s="114" t="s">
        <v>13</v>
      </c>
      <c r="F58" s="115"/>
      <c r="G58" s="28"/>
    </row>
    <row r="59" spans="1:7" ht="15.75" x14ac:dyDescent="0.25">
      <c r="A59" s="6"/>
      <c r="B59" s="125" t="s">
        <v>1</v>
      </c>
      <c r="C59" s="117">
        <v>46</v>
      </c>
      <c r="D59" s="113" t="s">
        <v>32</v>
      </c>
      <c r="E59" s="114" t="s">
        <v>56</v>
      </c>
      <c r="F59" s="115"/>
      <c r="G59" s="28"/>
    </row>
    <row r="60" spans="1:7" ht="18" customHeight="1" x14ac:dyDescent="0.25">
      <c r="A60" s="6"/>
      <c r="B60" s="14" t="s">
        <v>57</v>
      </c>
      <c r="C60" s="91">
        <v>6</v>
      </c>
      <c r="D60" s="64" t="s">
        <v>32</v>
      </c>
      <c r="E60" s="61" t="s">
        <v>117</v>
      </c>
      <c r="F60" s="65"/>
      <c r="G60" s="28"/>
    </row>
    <row r="61" spans="1:7" ht="15.75" x14ac:dyDescent="0.25">
      <c r="A61" s="6"/>
      <c r="B61" s="70"/>
      <c r="C61" s="71">
        <f>C59-C60</f>
        <v>40</v>
      </c>
      <c r="D61" s="89" t="s">
        <v>32</v>
      </c>
      <c r="E61" s="76" t="s">
        <v>58</v>
      </c>
      <c r="F61" s="85"/>
      <c r="G61" s="28"/>
    </row>
    <row r="62" spans="1:7" ht="16.5" thickBot="1" x14ac:dyDescent="0.3">
      <c r="A62" s="6"/>
      <c r="B62" s="49" t="s">
        <v>67</v>
      </c>
      <c r="C62" s="46"/>
      <c r="D62" s="46">
        <f>C29*C60/100</f>
        <v>60</v>
      </c>
      <c r="E62" s="46" t="s">
        <v>55</v>
      </c>
      <c r="F62" s="47"/>
      <c r="G62" s="28"/>
    </row>
    <row r="63" spans="1:7" ht="19.5" thickBot="1" x14ac:dyDescent="0.35">
      <c r="A63" s="6"/>
      <c r="B63" s="55" t="s">
        <v>68</v>
      </c>
      <c r="C63" s="53"/>
      <c r="D63" s="54"/>
      <c r="E63" s="53"/>
      <c r="F63" s="27"/>
      <c r="G63" s="28"/>
    </row>
    <row r="64" spans="1:7" ht="15.75" x14ac:dyDescent="0.25">
      <c r="A64" s="6"/>
      <c r="B64" s="128" t="s">
        <v>9</v>
      </c>
      <c r="C64" s="132">
        <v>400000</v>
      </c>
      <c r="D64" s="136"/>
      <c r="E64" s="109" t="s">
        <v>14</v>
      </c>
      <c r="F64" s="110"/>
      <c r="G64" s="28"/>
    </row>
    <row r="65" spans="1:8" ht="15.75" x14ac:dyDescent="0.25">
      <c r="A65" s="6"/>
      <c r="B65" s="23" t="s">
        <v>10</v>
      </c>
      <c r="C65" s="93">
        <v>600000</v>
      </c>
      <c r="D65" s="77"/>
      <c r="E65" s="73" t="s">
        <v>15</v>
      </c>
      <c r="F65" s="65"/>
      <c r="G65" s="28"/>
    </row>
    <row r="66" spans="1:8" ht="15.75" x14ac:dyDescent="0.25">
      <c r="A66" s="6"/>
      <c r="B66" s="72" t="s">
        <v>40</v>
      </c>
      <c r="C66" s="66" t="s">
        <v>40</v>
      </c>
      <c r="D66" s="78">
        <f>C64+C65</f>
        <v>1000000</v>
      </c>
      <c r="E66" s="68" t="s">
        <v>62</v>
      </c>
      <c r="F66" s="69"/>
      <c r="G66" s="28"/>
    </row>
    <row r="67" spans="1:8" ht="15.75" x14ac:dyDescent="0.25">
      <c r="A67" s="6"/>
      <c r="B67" s="139" t="s">
        <v>5</v>
      </c>
      <c r="C67" s="140">
        <v>5</v>
      </c>
      <c r="D67" s="141" t="s">
        <v>60</v>
      </c>
      <c r="E67" s="142" t="s">
        <v>6</v>
      </c>
      <c r="F67" s="143"/>
      <c r="G67" s="28"/>
    </row>
    <row r="68" spans="1:8" ht="16.5" thickBot="1" x14ac:dyDescent="0.3">
      <c r="A68" s="6"/>
      <c r="B68" s="90" t="s">
        <v>7</v>
      </c>
      <c r="C68" s="94">
        <v>0.05</v>
      </c>
      <c r="D68" s="79" t="s">
        <v>61</v>
      </c>
      <c r="E68" s="62"/>
      <c r="F68" s="60"/>
      <c r="G68" s="28"/>
    </row>
    <row r="69" spans="1:8" x14ac:dyDescent="0.2">
      <c r="A69" s="7"/>
      <c r="B69" s="7"/>
      <c r="C69" s="7"/>
      <c r="D69" s="7"/>
      <c r="E69" s="7"/>
      <c r="F69" s="162"/>
      <c r="G69" s="13"/>
    </row>
    <row r="70" spans="1:8" ht="13.5" thickBot="1" x14ac:dyDescent="0.25">
      <c r="A70" s="146"/>
      <c r="B70" s="146"/>
      <c r="C70" s="146"/>
      <c r="D70" s="146"/>
      <c r="E70" s="146"/>
      <c r="F70" s="147"/>
      <c r="G70" s="148"/>
    </row>
    <row r="71" spans="1:8" ht="19.5" thickBot="1" x14ac:dyDescent="0.35">
      <c r="A71" s="146"/>
      <c r="B71" s="163" t="s">
        <v>119</v>
      </c>
      <c r="C71" s="164"/>
      <c r="D71" s="149" t="s">
        <v>31</v>
      </c>
      <c r="E71" s="150" t="s">
        <v>70</v>
      </c>
      <c r="F71" s="151"/>
      <c r="G71" s="148"/>
    </row>
    <row r="72" spans="1:8" ht="15.75" x14ac:dyDescent="0.25">
      <c r="A72" s="146"/>
      <c r="B72" s="152" t="s">
        <v>120</v>
      </c>
      <c r="C72" s="153">
        <v>5</v>
      </c>
      <c r="D72" s="154" t="s">
        <v>121</v>
      </c>
      <c r="E72" s="155" t="s">
        <v>122</v>
      </c>
      <c r="F72" s="156"/>
      <c r="G72" s="148"/>
    </row>
    <row r="73" spans="1:8" ht="15.75" x14ac:dyDescent="0.25">
      <c r="A73" s="146"/>
      <c r="B73" s="152" t="s">
        <v>123</v>
      </c>
      <c r="C73" s="153">
        <v>364</v>
      </c>
      <c r="D73" s="154" t="s">
        <v>64</v>
      </c>
      <c r="E73" s="155" t="s">
        <v>124</v>
      </c>
      <c r="F73" s="156"/>
      <c r="G73" s="148"/>
      <c r="H73" s="9"/>
    </row>
    <row r="74" spans="1:8" ht="15.75" x14ac:dyDescent="0.25">
      <c r="A74" s="146"/>
      <c r="B74" s="152" t="s">
        <v>125</v>
      </c>
      <c r="C74" s="153">
        <v>111</v>
      </c>
      <c r="D74" s="154" t="s">
        <v>64</v>
      </c>
      <c r="E74" s="155" t="s">
        <v>126</v>
      </c>
      <c r="F74" s="156"/>
      <c r="G74" s="148"/>
    </row>
    <row r="75" spans="1:8" ht="16.5" thickBot="1" x14ac:dyDescent="0.3">
      <c r="A75" s="146"/>
      <c r="B75" s="157" t="s">
        <v>106</v>
      </c>
      <c r="C75" s="158">
        <f>0.0172 + (0.00566*C72) + (0.000171*C73) + (0.000411*C74)</f>
        <v>0.153365</v>
      </c>
      <c r="D75" s="159" t="s">
        <v>111</v>
      </c>
      <c r="E75" s="159" t="s">
        <v>127</v>
      </c>
      <c r="F75" s="160"/>
      <c r="G75" s="148"/>
    </row>
    <row r="76" spans="1:8" ht="13.5" thickBot="1" x14ac:dyDescent="0.25">
      <c r="A76" s="147"/>
      <c r="B76" s="147"/>
      <c r="C76" s="147"/>
      <c r="D76" s="147"/>
      <c r="E76" s="147"/>
      <c r="F76" s="147"/>
      <c r="G76" s="161"/>
    </row>
    <row r="77" spans="1:8" x14ac:dyDescent="0.2">
      <c r="C77" s="9"/>
    </row>
  </sheetData>
  <sheetProtection sheet="1" objects="1" scenarios="1" selectLockedCells="1"/>
  <mergeCells count="13">
    <mergeCell ref="B1:D1"/>
    <mergeCell ref="B2:D2"/>
    <mergeCell ref="B3:D3"/>
    <mergeCell ref="B28:C28"/>
    <mergeCell ref="B17:C17"/>
    <mergeCell ref="B7:C7"/>
    <mergeCell ref="B71:C71"/>
    <mergeCell ref="E17:F17"/>
    <mergeCell ref="B8:F8"/>
    <mergeCell ref="B10:C10"/>
    <mergeCell ref="E10:F10"/>
    <mergeCell ref="B9:C9"/>
    <mergeCell ref="E9:F9"/>
  </mergeCells>
  <phoneticPr fontId="2" type="noConversion"/>
  <printOptions horizontalCentered="1" verticalCentered="1"/>
  <pageMargins left="0.25" right="0.25" top="0.25" bottom="0.5" header="0.5" footer="0.25"/>
  <pageSetup orientation="portrait" horizontalDpi="4294967292" verticalDpi="4294967292"/>
  <headerFooter alignWithMargins="0">
    <oddFooter>&amp;R&amp;8&amp;F</oddFoot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Sheet1!$A$1:$A$2</xm:f>
          </x14:formula1>
          <xm:sqref>C36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"/>
    </sheetView>
  </sheetViews>
  <sheetFormatPr defaultColWidth="11.42578125" defaultRowHeight="12.75" x14ac:dyDescent="0.2"/>
  <sheetData>
    <row r="1" spans="1:1" x14ac:dyDescent="0.2">
      <c r="A1">
        <v>0.33</v>
      </c>
    </row>
    <row r="2" spans="1:1" x14ac:dyDescent="0.2">
      <c r="A2">
        <v>0.44</v>
      </c>
    </row>
  </sheetData>
  <sheetProtection sheet="1" objects="1" scenarios="1" selectLockedCells="1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9</vt:i4>
      </vt:variant>
    </vt:vector>
  </HeadingPairs>
  <TitlesOfParts>
    <vt:vector size="11" baseType="lpstr">
      <vt:lpstr>SandMatConversionCalculator</vt:lpstr>
      <vt:lpstr>Sheet1</vt:lpstr>
      <vt:lpstr>C_milk</vt:lpstr>
      <vt:lpstr>HerdSize</vt:lpstr>
      <vt:lpstr>Interest</vt:lpstr>
      <vt:lpstr>lbsDryMatterPerlbsMilk</vt:lpstr>
      <vt:lpstr>ManureCost</vt:lpstr>
      <vt:lpstr>MilkIncr</vt:lpstr>
      <vt:lpstr>P_milk</vt:lpstr>
      <vt:lpstr>PayPeriod</vt:lpstr>
      <vt:lpstr>StallCost</vt:lpstr>
    </vt:vector>
  </TitlesOfParts>
  <Company>UW School of Vetmed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Nigel Cook</dc:creator>
  <cp:lastModifiedBy>Thomas Bennett</cp:lastModifiedBy>
  <cp:lastPrinted>2011-03-03T13:57:56Z</cp:lastPrinted>
  <dcterms:created xsi:type="dcterms:W3CDTF">2006-09-23T21:17:36Z</dcterms:created>
  <dcterms:modified xsi:type="dcterms:W3CDTF">2018-11-20T16:37:55Z</dcterms:modified>
</cp:coreProperties>
</file>