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812"/>
  <workbookPr autoCompressPictures="0"/>
  <bookViews>
    <workbookView xWindow="41280" yWindow="0" windowWidth="25800" windowHeight="22220"/>
  </bookViews>
  <sheets>
    <sheet name="TCI-DTransitionBarnCalculator" sheetId="3" r:id="rId1"/>
    <sheet name="TCI305TransitionBarnCalculator" sheetId="4" r:id="rId2"/>
    <sheet name="Sheet1" sheetId="5" r:id="rId3"/>
  </sheets>
  <definedNames>
    <definedName name="Add_milk_cow_yr" localSheetId="0">'TCI-DTransitionBarnCalculator'!$D$51</definedName>
    <definedName name="Add_milk_cow_yr" localSheetId="1">TCI305TransitionBarnCalculator!$D$49</definedName>
    <definedName name="Add_milk_cow_yr">#REF!</definedName>
    <definedName name="Cost_lbDM" localSheetId="0">'TCI-DTransitionBarnCalculator'!$C$45</definedName>
    <definedName name="Cost_lbDM" localSheetId="1">TCI305TransitionBarnCalculator!$C$44</definedName>
    <definedName name="Cost_lbDM">#REF!</definedName>
    <definedName name="CostCapImprov" localSheetId="0">'TCI-DTransitionBarnCalculator'!$D$36</definedName>
    <definedName name="CostCapImprov" localSheetId="1">TCI305TransitionBarnCalculator!$D$36</definedName>
    <definedName name="CostCapImprov">#REF!</definedName>
    <definedName name="CostReplHfr" localSheetId="0">'TCI-DTransitionBarnCalculator'!$C$52</definedName>
    <definedName name="CostReplHfr" localSheetId="1">TCI305TransitionBarnCalculator!$C$50</definedName>
    <definedName name="CostReplHfr">#REF!</definedName>
    <definedName name="HerdSize" localSheetId="0">'TCI-DTransitionBarnCalculator'!$C$41</definedName>
    <definedName name="HerdSize" localSheetId="1">TCI305TransitionBarnCalculator!$C$40</definedName>
    <definedName name="HerdSize">#REF!</definedName>
    <definedName name="Interest" localSheetId="0">'TCI-DTransitionBarnCalculator'!$C$38</definedName>
    <definedName name="Interest" localSheetId="1">TCI305TransitionBarnCalculator!$C$38</definedName>
    <definedName name="Interest">#REF!</definedName>
    <definedName name="LbDM_lbMilk" localSheetId="0">'TCI-DTransitionBarnCalculator'!$C$44</definedName>
    <definedName name="LbDM_lbMilk" localSheetId="1">TCI305TransitionBarnCalculator!$C$43</definedName>
    <definedName name="LbDM_lbMilk">#REF!</definedName>
    <definedName name="lbsDryMatterPerlbsMilk">Sheet1!$A$1:$A$2</definedName>
    <definedName name="Milk_price_lb" localSheetId="0">'TCI-DTransitionBarnCalculator'!$C$43</definedName>
    <definedName name="Milk_price_lb" localSheetId="1">TCI305TransitionBarnCalculator!$C$42</definedName>
    <definedName name="Milk_price_lb">#REF!</definedName>
    <definedName name="PayPeriod" localSheetId="0">'TCI-DTransitionBarnCalculator'!$C$37</definedName>
    <definedName name="PayPeriod" localSheetId="1">TCI305TransitionBarnCalculator!$C$37</definedName>
    <definedName name="PayPeriod">#REF!</definedName>
    <definedName name="PriceCullCow" localSheetId="0">'TCI-DTransitionBarnCalculator'!$C$53</definedName>
    <definedName name="PriceCullCow" localSheetId="1">TCI305TransitionBarnCalculator!$C$51</definedName>
    <definedName name="PriceCullCow">#REF!</definedName>
    <definedName name="_xlnm.Print_Area" localSheetId="0">'TCI-DTransitionBarnCalculator'!$A$1:$G$56</definedName>
    <definedName name="_xlnm.Print_Area" localSheetId="1">TCI305TransitionBarnCalculator!$A$1:$G$54</definedName>
    <definedName name="ReducCulls_Yr" localSheetId="0">'TCI-DTransitionBarnCalculator'!$D$55</definedName>
    <definedName name="ReducCulls_Yr" localSheetId="1">TCI305TransitionBarnCalculator!$D$53</definedName>
    <definedName name="ReducCulls_Yr">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2" i="3" l="1"/>
  <c r="C62" i="3"/>
  <c r="C52" i="4"/>
  <c r="D53" i="4"/>
  <c r="C17" i="4"/>
  <c r="F17" i="4"/>
  <c r="F18" i="4"/>
  <c r="C18" i="4"/>
  <c r="D36" i="4"/>
  <c r="F13" i="4"/>
  <c r="C47" i="4"/>
  <c r="C48" i="4"/>
  <c r="D49" i="4"/>
  <c r="C12" i="4"/>
  <c r="C15" i="4"/>
  <c r="C19" i="4"/>
  <c r="F12" i="4"/>
  <c r="F15" i="4"/>
  <c r="F19" i="4"/>
  <c r="F20" i="4"/>
  <c r="C54" i="3"/>
  <c r="C50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2" i="3"/>
  <c r="D55" i="3"/>
  <c r="C17" i="3"/>
  <c r="C18" i="3"/>
  <c r="D51" i="3"/>
  <c r="F12" i="3"/>
  <c r="C49" i="3"/>
  <c r="D36" i="3"/>
  <c r="F13" i="3"/>
  <c r="C15" i="3"/>
  <c r="F17" i="3"/>
  <c r="F18" i="3"/>
  <c r="F15" i="3"/>
  <c r="F19" i="3"/>
  <c r="C19" i="3"/>
  <c r="F20" i="3"/>
</calcChain>
</file>

<file path=xl/sharedStrings.xml><?xml version="1.0" encoding="utf-8"?>
<sst xmlns="http://schemas.openxmlformats.org/spreadsheetml/2006/main" count="215" uniqueCount="110">
  <si>
    <t>Cost of replacement heifer ($)</t>
  </si>
  <si>
    <t>Cull price per cow ($)</t>
  </si>
  <si>
    <t>Milk price ($ per lb)</t>
  </si>
  <si>
    <t>Repayment Period (years)</t>
    <phoneticPr fontId="2" type="noConversion"/>
  </si>
  <si>
    <t>Suggest 3-7 years</t>
    <phoneticPr fontId="2" type="noConversion"/>
  </si>
  <si>
    <t>Interest Rate of Loan</t>
    <phoneticPr fontId="2" type="noConversion"/>
  </si>
  <si>
    <t>Enter herd size</t>
  </si>
  <si>
    <t>Enter estimate for heifer purchase</t>
  </si>
  <si>
    <t>Enter average cull price</t>
  </si>
  <si>
    <t>POSITIVE IMPACTS</t>
  </si>
  <si>
    <t>Increased Costs</t>
  </si>
  <si>
    <t>Reduced Costs</t>
  </si>
  <si>
    <t>Reduced Incomes</t>
  </si>
  <si>
    <t>School of Veterinary Medicine, University of Wisconsin-Madison</t>
  </si>
  <si>
    <t>Improved milk production</t>
  </si>
  <si>
    <t>Increased feed costs</t>
  </si>
  <si>
    <t>lbs</t>
  </si>
  <si>
    <t>Units</t>
  </si>
  <si>
    <t>%</t>
  </si>
  <si>
    <t xml:space="preserve"> </t>
  </si>
  <si>
    <t>reduced culls from herd per year</t>
  </si>
  <si>
    <t>yr</t>
  </si>
  <si>
    <t>interest rate</t>
  </si>
  <si>
    <t>Total cost of conversion</t>
  </si>
  <si>
    <t>Herd Assumptions</t>
  </si>
  <si>
    <t>Instructions or reference values</t>
  </si>
  <si>
    <t>Reduction in cull cow sales</t>
  </si>
  <si>
    <t>Herd size</t>
  </si>
  <si>
    <t>Lbs TMR dry matter per lb of milk</t>
  </si>
  <si>
    <t>Increased Income</t>
  </si>
  <si>
    <t>Total Negative Impacts</t>
  </si>
  <si>
    <t xml:space="preserve"> Total Positive Impacts</t>
  </si>
  <si>
    <t>NET ANNUAL IMPACT</t>
  </si>
  <si>
    <t># cows</t>
  </si>
  <si>
    <t>Cost per lb of TMR dry matter</t>
  </si>
  <si>
    <t>Typical range $0.12-0.18</t>
  </si>
  <si>
    <t>lb DM/lb milk</t>
  </si>
  <si>
    <t>Current annual average TCI</t>
  </si>
  <si>
    <t>lbs TCI</t>
  </si>
  <si>
    <t>Data from AgSource Fresh Cow Summary</t>
  </si>
  <si>
    <t>Data from DHI records</t>
  </si>
  <si>
    <t>lbs, estimated additional milk per cow per lactation</t>
  </si>
  <si>
    <t>Amortized cost of capital improvements</t>
  </si>
  <si>
    <t>Reduced cost of replacements</t>
  </si>
  <si>
    <t xml:space="preserve">Total Annual Increased Incomes  </t>
  </si>
  <si>
    <t xml:space="preserve">Total Annual Reduced Costs </t>
  </si>
  <si>
    <t xml:space="preserve">Total Annual Increased Costs  </t>
  </si>
  <si>
    <t>Total Annual Reduced Incomes</t>
  </si>
  <si>
    <t>Cost per stall</t>
  </si>
  <si>
    <t># stalls</t>
  </si>
  <si>
    <t>Other building costs</t>
  </si>
  <si>
    <t>Culling</t>
  </si>
  <si>
    <t>TCI Calculations</t>
  </si>
  <si>
    <t>Transition Cow Barn Project Costs</t>
  </si>
  <si>
    <t>Enter cost of proposed changes estimated as a per stall basis</t>
  </si>
  <si>
    <t>Total Project Cost</t>
  </si>
  <si>
    <t>Determine # stalls in new barn</t>
  </si>
  <si>
    <t>Projected RHA after TCI-enhancing changes implemented</t>
  </si>
  <si>
    <t>What change in TCI will balance the budget?</t>
  </si>
  <si>
    <t>Milk Production</t>
  </si>
  <si>
    <t>lbs TCI 305</t>
  </si>
  <si>
    <t>What transition cow barn design factors may enhance my TCI?</t>
  </si>
  <si>
    <t>Mattress to sand conversion</t>
  </si>
  <si>
    <t>Estimated TCI Improvement</t>
  </si>
  <si>
    <t>Provision of 30 inches of bunk space pre- and post-fresh</t>
  </si>
  <si>
    <t>Reduction in pen movements within 2-10 days of calving</t>
  </si>
  <si>
    <t xml:space="preserve"> Becky Brotzman DVM, Nigel Cook MRCVS, Ken Nordlund, DVM</t>
  </si>
  <si>
    <t>Current Rolling Herd Average (RHA)</t>
  </si>
  <si>
    <t>per lb</t>
  </si>
  <si>
    <t>Projected RHA after TCI-enhancing changes based on 1.3 lb milk per 1 lb TCI</t>
  </si>
  <si>
    <t>Estimated new annual average TCI needed to balance budget</t>
  </si>
  <si>
    <t>Expected reduction in annual turnover rate (%)</t>
  </si>
  <si>
    <t>TCI-D</t>
  </si>
  <si>
    <t>TCI-305</t>
  </si>
  <si>
    <t>lbs TCI-D</t>
  </si>
  <si>
    <t>Current annual average TCI-D</t>
  </si>
  <si>
    <t>Estimated new annual average TCI-D needed to balance budget</t>
  </si>
  <si>
    <t>Estimated TCI-D Improvement</t>
  </si>
  <si>
    <t>Add costs for bedded packs, handling areas, manure handling and storage etc.</t>
  </si>
  <si>
    <t>What change in TCI-D will balance the budget?</t>
  </si>
  <si>
    <t>Projected RHA milk after TCI-enhancing changes based on 1.3 lb milk per 1 lb TCI-305</t>
  </si>
  <si>
    <r>
      <rPr>
        <b/>
        <sz val="18"/>
        <rFont val="Calibri"/>
        <family val="2"/>
      </rPr>
      <t>Transition Cow Barn Budget Calculator (TCI-D)</t>
    </r>
    <r>
      <rPr>
        <sz val="18"/>
        <rFont val="Calibri"/>
        <family val="2"/>
      </rPr>
      <t xml:space="preserve"> </t>
    </r>
    <r>
      <rPr>
        <i/>
        <sz val="12"/>
        <rFont val="Calibri"/>
        <family val="2"/>
      </rPr>
      <t>Version 1.0 (January, 2012)</t>
    </r>
  </si>
  <si>
    <t>FIRST: Fill in the BLUE cells in the Assumptions table below</t>
  </si>
  <si>
    <t>SECOND: Determine what change in TCI will balance the budget</t>
  </si>
  <si>
    <t>Projected new annual ave. TCI-D to balance budget (appropriate range -15 to +15)</t>
  </si>
  <si>
    <t>NEGATIVE IMPACTS</t>
  </si>
  <si>
    <r>
      <t xml:space="preserve">Change the </t>
    </r>
    <r>
      <rPr>
        <b/>
        <i/>
        <sz val="12"/>
        <color theme="6" tint="-0.499984740745262"/>
        <rFont val="Calibri"/>
        <family val="2"/>
      </rPr>
      <t>GREEN</t>
    </r>
    <r>
      <rPr>
        <i/>
        <sz val="12"/>
        <rFont val="Calibri"/>
        <family val="2"/>
      </rPr>
      <t xml:space="preserve"> cell above to make Net Annual Impact (cell F18) ~ zero</t>
    </r>
  </si>
  <si>
    <t>Increased stall width and improved lunge space for mature pre-fresh cows and post-fresh cows</t>
  </si>
  <si>
    <t>ASSUMPTIONS TABLE</t>
  </si>
  <si>
    <r>
      <t xml:space="preserve">Projected decrease </t>
    </r>
    <r>
      <rPr>
        <sz val="12"/>
        <rFont val="Calibri"/>
        <family val="2"/>
      </rPr>
      <t>of 2.4% turnover rate per 1,000 lbs TCI-305</t>
    </r>
  </si>
  <si>
    <t>Projected decrease of 2.4% turnover rate per 1,000 lbs TCI (calculated value)</t>
  </si>
  <si>
    <t>Projected new annual ave. TCI to balance budget (appropriate range -2,500 to +2,500)</t>
  </si>
  <si>
    <t>Herd Data</t>
  </si>
  <si>
    <t>Interest Rate of Loan</t>
    <phoneticPr fontId="2" type="noConversion"/>
  </si>
  <si>
    <t>Add costs for bedded packs, handling areas etc.</t>
  </si>
  <si>
    <r>
      <rPr>
        <b/>
        <sz val="20"/>
        <rFont val="Calibri"/>
        <family val="2"/>
      </rPr>
      <t>Transition Cow Barn Budget Calculator (TCI 305)</t>
    </r>
    <r>
      <rPr>
        <sz val="18"/>
        <rFont val="Calibri"/>
        <family val="2"/>
      </rPr>
      <t xml:space="preserve"> </t>
    </r>
    <r>
      <rPr>
        <i/>
        <sz val="12"/>
        <rFont val="Calibri"/>
        <family val="2"/>
      </rPr>
      <t>Version 1.0 (January, 2012)</t>
    </r>
  </si>
  <si>
    <t>To unprotect this worksheet, select the Review tab above and click Unprotect sheet.</t>
  </si>
  <si>
    <t>$ per lb DM</t>
  </si>
  <si>
    <t>Corn price</t>
  </si>
  <si>
    <t>$/bushel</t>
  </si>
  <si>
    <t>USDA Feed Cost prices 2007-2012 ($5.02 per bushel)</t>
  </si>
  <si>
    <t>Soybean meal price</t>
  </si>
  <si>
    <t>$/ton</t>
  </si>
  <si>
    <t>Alfalfa price</t>
  </si>
  <si>
    <t>Choose 0.33 for milk changes &gt;5 lb and 0.44 for milk changes 5 lb or less</t>
  </si>
  <si>
    <t>Feed Costs</t>
  </si>
  <si>
    <t>USDA Feed Cost prices 2007-2012 ($364.59 per ton)</t>
  </si>
  <si>
    <t>USDA Feed Cost prices 2007-2012 ($111.46 per ton)</t>
  </si>
  <si>
    <t>Calculated from entered feed costs above</t>
  </si>
  <si>
    <t>Enter if known or calculate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</si>
</sst>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&quot;$&quot;* #,##0_);_(&quot;$&quot;* \(#,##0\);_(&quot;$&quot;* &quot;-&quot;??_);_(@_)"/>
    <numFmt numFmtId="166" formatCode="_(* #,##0_);_(* \(#,##0\);_(* &quot;-&quot;??_);_(@_)"/>
    <numFmt numFmtId="167" formatCode="0.000"/>
    <numFmt numFmtId="168" formatCode="&quot;$&quot;#,##0.00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sz val="18"/>
      <name val="Calibri"/>
      <family val="2"/>
    </font>
    <font>
      <i/>
      <sz val="12"/>
      <name val="Calibri"/>
      <family val="2"/>
    </font>
    <font>
      <sz val="14"/>
      <color theme="0"/>
      <name val="Calibri"/>
      <family val="2"/>
    </font>
    <font>
      <sz val="14"/>
      <name val="Calibri"/>
      <family val="2"/>
    </font>
    <font>
      <b/>
      <sz val="18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</font>
    <font>
      <b/>
      <i/>
      <sz val="20"/>
      <name val="Calibri"/>
      <family val="2"/>
    </font>
    <font>
      <b/>
      <sz val="20"/>
      <name val="Calibri"/>
      <family val="2"/>
    </font>
    <font>
      <b/>
      <i/>
      <sz val="12"/>
      <color theme="6" tint="-0.499984740745262"/>
      <name val="Calibri"/>
      <family val="2"/>
    </font>
    <font>
      <i/>
      <sz val="10"/>
      <name val="Calibri"/>
      <family val="2"/>
    </font>
    <font>
      <i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4"/>
      <color rgb="FFFFFFFF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CA7E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963634"/>
        <bgColor rgb="FF000000"/>
      </patternFill>
    </fill>
    <fill>
      <patternFill patternType="solid">
        <fgColor rgb="FF7CA7EC"/>
        <bgColor rgb="FF000000"/>
      </patternFill>
    </fill>
    <fill>
      <patternFill patternType="solid">
        <fgColor rgb="FFFFC000"/>
        <bgColor rgb="FF000000"/>
      </patternFill>
    </fill>
  </fills>
  <borders count="7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medium">
        <color auto="1"/>
      </top>
      <bottom style="thin">
        <color theme="0" tint="-0.499984740745262"/>
      </bottom>
      <diagonal/>
    </border>
    <border>
      <left/>
      <right/>
      <top style="medium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medium">
        <color auto="1"/>
      </top>
      <bottom style="thin">
        <color theme="0" tint="-0.499984740745262"/>
      </bottom>
      <diagonal/>
    </border>
    <border>
      <left style="medium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auto="1"/>
      </top>
      <bottom style="thin">
        <color theme="0" tint="-0.499984740745262"/>
      </bottom>
      <diagonal/>
    </border>
    <border>
      <left style="medium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/>
      <top style="medium">
        <color auto="1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/>
      <diagonal/>
    </border>
    <border>
      <left/>
      <right style="hair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rgb="FF808080"/>
      </bottom>
      <diagonal/>
    </border>
    <border>
      <left style="thin">
        <color auto="1"/>
      </left>
      <right style="thin">
        <color auto="1"/>
      </right>
      <top/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/>
      <right style="medium">
        <color auto="1"/>
      </right>
      <top/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theme="0" tint="-0.499984740745262"/>
      </top>
      <bottom/>
      <diagonal/>
    </border>
    <border>
      <left style="medium">
        <color auto="1"/>
      </left>
      <right/>
      <top style="thin">
        <color theme="0" tint="-0.499984740745262"/>
      </top>
      <bottom/>
      <diagonal/>
    </border>
    <border>
      <left/>
      <right/>
      <top style="medium">
        <color theme="1"/>
      </top>
      <bottom style="medium">
        <color auto="1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auto="1"/>
      </right>
      <top style="thin">
        <color theme="0" tint="-0.499984740745262"/>
      </top>
      <bottom/>
      <diagonal/>
    </border>
  </borders>
  <cellStyleXfs count="8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6">
    <xf numFmtId="0" fontId="0" fillId="0" borderId="0" xfId="0"/>
    <xf numFmtId="0" fontId="7" fillId="4" borderId="37" xfId="0" applyFont="1" applyFill="1" applyBorder="1"/>
    <xf numFmtId="0" fontId="8" fillId="2" borderId="4" xfId="0" applyFont="1" applyFill="1" applyBorder="1" applyAlignment="1"/>
    <xf numFmtId="0" fontId="7" fillId="4" borderId="36" xfId="0" applyFont="1" applyFill="1" applyBorder="1"/>
    <xf numFmtId="0" fontId="7" fillId="0" borderId="0" xfId="0" applyFont="1"/>
    <xf numFmtId="0" fontId="7" fillId="4" borderId="1" xfId="0" applyFont="1" applyFill="1" applyBorder="1"/>
    <xf numFmtId="0" fontId="7" fillId="4" borderId="0" xfId="0" applyFont="1" applyFill="1" applyBorder="1"/>
    <xf numFmtId="0" fontId="9" fillId="2" borderId="0" xfId="0" applyFont="1" applyFill="1" applyBorder="1" applyAlignment="1"/>
    <xf numFmtId="0" fontId="7" fillId="4" borderId="3" xfId="0" applyFont="1" applyFill="1" applyBorder="1"/>
    <xf numFmtId="0" fontId="7" fillId="0" borderId="0" xfId="0" applyFont="1" applyBorder="1"/>
    <xf numFmtId="0" fontId="7" fillId="2" borderId="11" xfId="0" applyFont="1" applyFill="1" applyBorder="1" applyAlignment="1">
      <alignment horizontal="left"/>
    </xf>
    <xf numFmtId="0" fontId="11" fillId="4" borderId="1" xfId="0" applyFont="1" applyFill="1" applyBorder="1" applyAlignment="1">
      <alignment vertical="center"/>
    </xf>
    <xf numFmtId="0" fontId="11" fillId="4" borderId="3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7" fillId="4" borderId="16" xfId="0" applyFont="1" applyFill="1" applyBorder="1"/>
    <xf numFmtId="0" fontId="4" fillId="4" borderId="0" xfId="0" applyFont="1" applyFill="1" applyBorder="1"/>
    <xf numFmtId="0" fontId="4" fillId="2" borderId="6" xfId="0" applyFont="1" applyFill="1" applyBorder="1"/>
    <xf numFmtId="0" fontId="7" fillId="2" borderId="0" xfId="0" applyFont="1" applyFill="1" applyBorder="1"/>
    <xf numFmtId="0" fontId="12" fillId="2" borderId="0" xfId="0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7" fontId="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4" fillId="0" borderId="0" xfId="0" applyFont="1"/>
    <xf numFmtId="0" fontId="9" fillId="2" borderId="1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4" borderId="0" xfId="0" applyFont="1" applyFill="1" applyBorder="1" applyAlignment="1"/>
    <xf numFmtId="0" fontId="4" fillId="4" borderId="16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/>
    </xf>
    <xf numFmtId="0" fontId="4" fillId="0" borderId="1" xfId="0" applyFont="1" applyBorder="1"/>
    <xf numFmtId="165" fontId="4" fillId="0" borderId="3" xfId="1" applyNumberFormat="1" applyFont="1" applyBorder="1"/>
    <xf numFmtId="165" fontId="4" fillId="4" borderId="16" xfId="1" applyNumberFormat="1" applyFont="1" applyFill="1" applyBorder="1"/>
    <xf numFmtId="0" fontId="4" fillId="0" borderId="32" xfId="0" applyFont="1" applyBorder="1"/>
    <xf numFmtId="165" fontId="4" fillId="0" borderId="23" xfId="1" applyNumberFormat="1" applyFont="1" applyBorder="1"/>
    <xf numFmtId="165" fontId="4" fillId="4" borderId="0" xfId="1" applyNumberFormat="1" applyFont="1" applyFill="1" applyBorder="1"/>
    <xf numFmtId="0" fontId="4" fillId="8" borderId="1" xfId="0" applyFont="1" applyFill="1" applyBorder="1" applyAlignment="1">
      <alignment horizontal="right"/>
    </xf>
    <xf numFmtId="165" fontId="4" fillId="8" borderId="7" xfId="1" applyNumberFormat="1" applyFont="1" applyFill="1" applyBorder="1" applyAlignment="1">
      <alignment horizontal="center"/>
    </xf>
    <xf numFmtId="165" fontId="4" fillId="4" borderId="0" xfId="1" applyNumberFormat="1" applyFont="1" applyFill="1" applyBorder="1" applyAlignment="1">
      <alignment horizontal="center"/>
    </xf>
    <xf numFmtId="165" fontId="4" fillId="8" borderId="33" xfId="1" applyNumberFormat="1" applyFont="1" applyFill="1" applyBorder="1" applyAlignment="1">
      <alignment horizontal="center"/>
    </xf>
    <xf numFmtId="0" fontId="4" fillId="0" borderId="31" xfId="0" applyFont="1" applyBorder="1"/>
    <xf numFmtId="165" fontId="4" fillId="0" borderId="35" xfId="1" applyNumberFormat="1" applyFont="1" applyBorder="1"/>
    <xf numFmtId="0" fontId="4" fillId="8" borderId="34" xfId="0" applyFont="1" applyFill="1" applyBorder="1" applyAlignment="1">
      <alignment horizontal="right"/>
    </xf>
    <xf numFmtId="0" fontId="4" fillId="8" borderId="5" xfId="0" applyFont="1" applyFill="1" applyBorder="1" applyAlignment="1">
      <alignment horizontal="right"/>
    </xf>
    <xf numFmtId="0" fontId="15" fillId="5" borderId="8" xfId="0" applyFont="1" applyFill="1" applyBorder="1" applyAlignment="1">
      <alignment horizontal="center" wrapText="1"/>
    </xf>
    <xf numFmtId="165" fontId="15" fillId="5" borderId="2" xfId="1" applyNumberFormat="1" applyFont="1" applyFill="1" applyBorder="1" applyAlignment="1">
      <alignment horizontal="center"/>
    </xf>
    <xf numFmtId="165" fontId="15" fillId="4" borderId="16" xfId="1" applyNumberFormat="1" applyFont="1" applyFill="1" applyBorder="1" applyAlignment="1">
      <alignment horizontal="center"/>
    </xf>
    <xf numFmtId="0" fontId="4" fillId="2" borderId="4" xfId="0" applyFont="1" applyFill="1" applyBorder="1"/>
    <xf numFmtId="0" fontId="16" fillId="4" borderId="0" xfId="0" applyFont="1" applyFill="1" applyBorder="1" applyAlignment="1">
      <alignment horizontal="right"/>
    </xf>
    <xf numFmtId="165" fontId="16" fillId="4" borderId="0" xfId="1" applyNumberFormat="1" applyFont="1" applyFill="1" applyBorder="1" applyAlignment="1">
      <alignment horizontal="center"/>
    </xf>
    <xf numFmtId="0" fontId="15" fillId="5" borderId="8" xfId="0" applyFont="1" applyFill="1" applyBorder="1" applyAlignment="1">
      <alignment horizontal="left"/>
    </xf>
    <xf numFmtId="0" fontId="15" fillId="5" borderId="10" xfId="0" applyFont="1" applyFill="1" applyBorder="1" applyAlignment="1">
      <alignment horizontal="left"/>
    </xf>
    <xf numFmtId="0" fontId="15" fillId="5" borderId="21" xfId="0" applyFont="1" applyFill="1" applyBorder="1" applyAlignment="1"/>
    <xf numFmtId="0" fontId="15" fillId="5" borderId="9" xfId="0" applyFont="1" applyFill="1" applyBorder="1" applyAlignment="1">
      <alignment horizontal="left"/>
    </xf>
    <xf numFmtId="165" fontId="4" fillId="7" borderId="17" xfId="1" applyNumberFormat="1" applyFont="1" applyFill="1" applyBorder="1"/>
    <xf numFmtId="0" fontId="14" fillId="7" borderId="0" xfId="0" applyFont="1" applyFill="1" applyBorder="1"/>
    <xf numFmtId="0" fontId="4" fillId="7" borderId="3" xfId="0" applyFont="1" applyFill="1" applyBorder="1"/>
    <xf numFmtId="0" fontId="4" fillId="3" borderId="40" xfId="0" applyFont="1" applyFill="1" applyBorder="1" applyAlignment="1">
      <alignment horizontal="right"/>
    </xf>
    <xf numFmtId="0" fontId="4" fillId="3" borderId="15" xfId="0" applyFont="1" applyFill="1" applyBorder="1"/>
    <xf numFmtId="165" fontId="4" fillId="3" borderId="15" xfId="2" applyNumberFormat="1" applyFont="1" applyFill="1" applyBorder="1"/>
    <xf numFmtId="0" fontId="4" fillId="3" borderId="41" xfId="0" applyFont="1" applyFill="1" applyBorder="1"/>
    <xf numFmtId="0" fontId="4" fillId="0" borderId="28" xfId="0" applyFont="1" applyBorder="1"/>
    <xf numFmtId="4" fontId="4" fillId="7" borderId="19" xfId="0" applyNumberFormat="1" applyFont="1" applyFill="1" applyBorder="1"/>
    <xf numFmtId="0" fontId="14" fillId="7" borderId="6" xfId="0" applyFont="1" applyFill="1" applyBorder="1"/>
    <xf numFmtId="0" fontId="4" fillId="7" borderId="7" xfId="0" applyFont="1" applyFill="1" applyBorder="1"/>
    <xf numFmtId="0" fontId="15" fillId="5" borderId="12" xfId="0" applyFont="1" applyFill="1" applyBorder="1" applyAlignment="1">
      <alignment horizontal="center"/>
    </xf>
    <xf numFmtId="0" fontId="16" fillId="5" borderId="9" xfId="0" applyFont="1" applyFill="1" applyBorder="1" applyAlignment="1"/>
    <xf numFmtId="0" fontId="4" fillId="0" borderId="27" xfId="0" applyFont="1" applyFill="1" applyBorder="1"/>
    <xf numFmtId="0" fontId="4" fillId="7" borderId="17" xfId="0" applyFont="1" applyFill="1" applyBorder="1"/>
    <xf numFmtId="0" fontId="4" fillId="7" borderId="47" xfId="0" applyFont="1" applyFill="1" applyBorder="1"/>
    <xf numFmtId="0" fontId="4" fillId="7" borderId="48" xfId="0" applyFont="1" applyFill="1" applyBorder="1" applyAlignment="1" applyProtection="1"/>
    <xf numFmtId="0" fontId="4" fillId="7" borderId="49" xfId="0" applyFont="1" applyFill="1" applyBorder="1"/>
    <xf numFmtId="0" fontId="14" fillId="7" borderId="50" xfId="0" applyFont="1" applyFill="1" applyBorder="1"/>
    <xf numFmtId="0" fontId="4" fillId="7" borderId="51" xfId="0" applyFont="1" applyFill="1" applyBorder="1"/>
    <xf numFmtId="0" fontId="4" fillId="7" borderId="44" xfId="0" applyFont="1" applyFill="1" applyBorder="1"/>
    <xf numFmtId="3" fontId="4" fillId="7" borderId="46" xfId="0" applyNumberFormat="1" applyFont="1" applyFill="1" applyBorder="1"/>
    <xf numFmtId="0" fontId="4" fillId="7" borderId="22" xfId="0" applyFont="1" applyFill="1" applyBorder="1"/>
    <xf numFmtId="0" fontId="14" fillId="7" borderId="22" xfId="0" applyFont="1" applyFill="1" applyBorder="1"/>
    <xf numFmtId="0" fontId="4" fillId="7" borderId="45" xfId="0" applyFont="1" applyFill="1" applyBorder="1"/>
    <xf numFmtId="0" fontId="4" fillId="3" borderId="5" xfId="0" applyFont="1" applyFill="1" applyBorder="1" applyAlignment="1">
      <alignment horizontal="right"/>
    </xf>
    <xf numFmtId="0" fontId="4" fillId="3" borderId="6" xfId="0" applyFont="1" applyFill="1" applyBorder="1"/>
    <xf numFmtId="166" fontId="4" fillId="3" borderId="6" xfId="2" applyNumberFormat="1" applyFont="1" applyFill="1" applyBorder="1"/>
    <xf numFmtId="0" fontId="4" fillId="3" borderId="7" xfId="0" applyFont="1" applyFill="1" applyBorder="1"/>
    <xf numFmtId="165" fontId="4" fillId="7" borderId="4" xfId="1" applyNumberFormat="1" applyFont="1" applyFill="1" applyBorder="1"/>
    <xf numFmtId="165" fontId="4" fillId="7" borderId="0" xfId="1" applyNumberFormat="1" applyFont="1" applyFill="1" applyBorder="1"/>
    <xf numFmtId="2" fontId="4" fillId="7" borderId="46" xfId="0" applyNumberFormat="1" applyFont="1" applyFill="1" applyBorder="1" applyProtection="1"/>
    <xf numFmtId="0" fontId="4" fillId="3" borderId="42" xfId="0" applyFont="1" applyFill="1" applyBorder="1" applyAlignment="1">
      <alignment horizontal="right"/>
    </xf>
    <xf numFmtId="0" fontId="4" fillId="3" borderId="18" xfId="0" applyFont="1" applyFill="1" applyBorder="1"/>
    <xf numFmtId="1" fontId="4" fillId="3" borderId="18" xfId="0" applyNumberFormat="1" applyFont="1" applyFill="1" applyBorder="1"/>
    <xf numFmtId="0" fontId="4" fillId="3" borderId="43" xfId="0" applyFont="1" applyFill="1" applyBorder="1"/>
    <xf numFmtId="0" fontId="4" fillId="4" borderId="1" xfId="0" applyFont="1" applyFill="1" applyBorder="1"/>
    <xf numFmtId="0" fontId="14" fillId="4" borderId="0" xfId="0" applyFont="1" applyFill="1" applyBorder="1" applyAlignment="1">
      <alignment horizontal="center"/>
    </xf>
    <xf numFmtId="0" fontId="4" fillId="4" borderId="3" xfId="0" applyFont="1" applyFill="1" applyBorder="1"/>
    <xf numFmtId="0" fontId="18" fillId="4" borderId="0" xfId="0" applyFont="1" applyFill="1" applyBorder="1" applyAlignment="1">
      <alignment horizontal="center"/>
    </xf>
    <xf numFmtId="164" fontId="18" fillId="4" borderId="0" xfId="0" applyNumberFormat="1" applyFont="1" applyFill="1" applyBorder="1" applyAlignment="1">
      <alignment horizontal="center"/>
    </xf>
    <xf numFmtId="0" fontId="16" fillId="10" borderId="8" xfId="0" applyFont="1" applyFill="1" applyBorder="1" applyAlignment="1">
      <alignment horizontal="right"/>
    </xf>
    <xf numFmtId="165" fontId="16" fillId="10" borderId="2" xfId="1" applyNumberFormat="1" applyFont="1" applyFill="1" applyBorder="1" applyAlignment="1">
      <alignment horizontal="center"/>
    </xf>
    <xf numFmtId="0" fontId="7" fillId="4" borderId="0" xfId="0" applyFont="1" applyFill="1"/>
    <xf numFmtId="0" fontId="21" fillId="4" borderId="17" xfId="0" applyFont="1" applyFill="1" applyBorder="1"/>
    <xf numFmtId="0" fontId="14" fillId="4" borderId="0" xfId="0" applyFont="1" applyFill="1" applyBorder="1" applyAlignment="1">
      <alignment horizontal="right"/>
    </xf>
    <xf numFmtId="0" fontId="4" fillId="4" borderId="0" xfId="0" applyFont="1" applyFill="1"/>
    <xf numFmtId="0" fontId="19" fillId="4" borderId="0" xfId="0" applyFont="1" applyFill="1" applyBorder="1" applyAlignment="1">
      <alignment horizontal="right"/>
    </xf>
    <xf numFmtId="0" fontId="19" fillId="4" borderId="0" xfId="0" applyFont="1" applyFill="1" applyBorder="1" applyAlignment="1">
      <alignment horizontal="left" indent="1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 indent="1"/>
    </xf>
    <xf numFmtId="0" fontId="7" fillId="0" borderId="0" xfId="59" applyFont="1"/>
    <xf numFmtId="0" fontId="7" fillId="0" borderId="0" xfId="59" applyFont="1" applyFill="1"/>
    <xf numFmtId="0" fontId="7" fillId="4" borderId="16" xfId="59" applyFont="1" applyFill="1" applyBorder="1"/>
    <xf numFmtId="0" fontId="4" fillId="3" borderId="43" xfId="59" applyFont="1" applyFill="1" applyBorder="1"/>
    <xf numFmtId="0" fontId="4" fillId="3" borderId="18" xfId="59" applyFont="1" applyFill="1" applyBorder="1"/>
    <xf numFmtId="1" fontId="4" fillId="3" borderId="18" xfId="59" applyNumberFormat="1" applyFont="1" applyFill="1" applyBorder="1"/>
    <xf numFmtId="0" fontId="4" fillId="3" borderId="42" xfId="59" applyFont="1" applyFill="1" applyBorder="1" applyAlignment="1">
      <alignment horizontal="right"/>
    </xf>
    <xf numFmtId="0" fontId="7" fillId="4" borderId="1" xfId="59" applyFont="1" applyFill="1" applyBorder="1"/>
    <xf numFmtId="0" fontId="4" fillId="7" borderId="45" xfId="59" applyFont="1" applyFill="1" applyBorder="1"/>
    <xf numFmtId="0" fontId="14" fillId="7" borderId="22" xfId="59" applyFont="1" applyFill="1" applyBorder="1"/>
    <xf numFmtId="0" fontId="4" fillId="7" borderId="22" xfId="59" applyFont="1" applyFill="1" applyBorder="1"/>
    <xf numFmtId="2" fontId="4" fillId="7" borderId="46" xfId="59" applyNumberFormat="1" applyFont="1" applyFill="1" applyBorder="1" applyProtection="1"/>
    <xf numFmtId="0" fontId="4" fillId="7" borderId="44" xfId="59" applyFont="1" applyFill="1" applyBorder="1"/>
    <xf numFmtId="0" fontId="4" fillId="7" borderId="3" xfId="59" applyFont="1" applyFill="1" applyBorder="1"/>
    <xf numFmtId="0" fontId="14" fillId="7" borderId="0" xfId="59" applyFont="1" applyFill="1" applyBorder="1"/>
    <xf numFmtId="0" fontId="4" fillId="0" borderId="1" xfId="59" applyFont="1" applyBorder="1"/>
    <xf numFmtId="0" fontId="4" fillId="0" borderId="37" xfId="59" applyFont="1" applyBorder="1"/>
    <xf numFmtId="0" fontId="4" fillId="3" borderId="7" xfId="59" applyFont="1" applyFill="1" applyBorder="1"/>
    <xf numFmtId="0" fontId="4" fillId="3" borderId="6" xfId="59" applyFont="1" applyFill="1" applyBorder="1"/>
    <xf numFmtId="166" fontId="4" fillId="3" borderId="6" xfId="60" applyNumberFormat="1" applyFont="1" applyFill="1" applyBorder="1"/>
    <xf numFmtId="0" fontId="4" fillId="3" borderId="5" xfId="59" applyFont="1" applyFill="1" applyBorder="1" applyAlignment="1">
      <alignment horizontal="right"/>
    </xf>
    <xf numFmtId="3" fontId="4" fillId="7" borderId="46" xfId="59" applyNumberFormat="1" applyFont="1" applyFill="1" applyBorder="1"/>
    <xf numFmtId="0" fontId="4" fillId="7" borderId="49" xfId="59" applyFont="1" applyFill="1" applyBorder="1"/>
    <xf numFmtId="0" fontId="4" fillId="7" borderId="48" xfId="59" applyFont="1" applyFill="1" applyBorder="1" applyAlignment="1" applyProtection="1"/>
    <xf numFmtId="0" fontId="4" fillId="7" borderId="47" xfId="59" applyFont="1" applyFill="1" applyBorder="1"/>
    <xf numFmtId="0" fontId="4" fillId="7" borderId="17" xfId="59" applyFont="1" applyFill="1" applyBorder="1"/>
    <xf numFmtId="0" fontId="4" fillId="0" borderId="27" xfId="59" applyFont="1" applyFill="1" applyBorder="1"/>
    <xf numFmtId="0" fontId="7" fillId="4" borderId="3" xfId="59" applyFont="1" applyFill="1" applyBorder="1"/>
    <xf numFmtId="0" fontId="16" fillId="5" borderId="9" xfId="59" applyFont="1" applyFill="1" applyBorder="1" applyAlignment="1"/>
    <xf numFmtId="0" fontId="15" fillId="5" borderId="21" xfId="59" applyFont="1" applyFill="1" applyBorder="1" applyAlignment="1"/>
    <xf numFmtId="0" fontId="15" fillId="5" borderId="12" xfId="59" applyFont="1" applyFill="1" applyBorder="1" applyAlignment="1">
      <alignment horizontal="center"/>
    </xf>
    <xf numFmtId="4" fontId="4" fillId="7" borderId="17" xfId="59" applyNumberFormat="1" applyFont="1" applyFill="1" applyBorder="1"/>
    <xf numFmtId="0" fontId="14" fillId="7" borderId="4" xfId="59" applyFont="1" applyFill="1" applyBorder="1"/>
    <xf numFmtId="0" fontId="4" fillId="7" borderId="4" xfId="59" applyFont="1" applyFill="1" applyBorder="1"/>
    <xf numFmtId="0" fontId="4" fillId="0" borderId="26" xfId="59" applyFont="1" applyFill="1" applyBorder="1"/>
    <xf numFmtId="0" fontId="4" fillId="7" borderId="7" xfId="59" applyFont="1" applyFill="1" applyBorder="1"/>
    <xf numFmtId="0" fontId="14" fillId="7" borderId="6" xfId="59" applyFont="1" applyFill="1" applyBorder="1"/>
    <xf numFmtId="4" fontId="4" fillId="7" borderId="19" xfId="59" applyNumberFormat="1" applyFont="1" applyFill="1" applyBorder="1"/>
    <xf numFmtId="0" fontId="4" fillId="0" borderId="28" xfId="59" applyFont="1" applyBorder="1"/>
    <xf numFmtId="3" fontId="4" fillId="7" borderId="17" xfId="59" applyNumberFormat="1" applyFont="1" applyFill="1" applyBorder="1"/>
    <xf numFmtId="0" fontId="4" fillId="0" borderId="29" xfId="59" applyFont="1" applyBorder="1"/>
    <xf numFmtId="0" fontId="4" fillId="3" borderId="41" xfId="59" applyFont="1" applyFill="1" applyBorder="1"/>
    <xf numFmtId="0" fontId="4" fillId="3" borderId="15" xfId="59" applyFont="1" applyFill="1" applyBorder="1"/>
    <xf numFmtId="165" fontId="4" fillId="3" borderId="15" xfId="60" applyNumberFormat="1" applyFont="1" applyFill="1" applyBorder="1"/>
    <xf numFmtId="0" fontId="4" fillId="3" borderId="40" xfId="59" applyFont="1" applyFill="1" applyBorder="1" applyAlignment="1">
      <alignment horizontal="right"/>
    </xf>
    <xf numFmtId="0" fontId="4" fillId="0" borderId="27" xfId="59" applyFont="1" applyBorder="1" applyProtection="1"/>
    <xf numFmtId="0" fontId="4" fillId="7" borderId="25" xfId="59" applyFont="1" applyFill="1" applyBorder="1"/>
    <xf numFmtId="0" fontId="14" fillId="7" borderId="24" xfId="59" applyFont="1" applyFill="1" applyBorder="1"/>
    <xf numFmtId="0" fontId="12" fillId="4" borderId="0" xfId="59" applyFont="1" applyFill="1" applyBorder="1" applyAlignment="1">
      <alignment horizontal="center"/>
    </xf>
    <xf numFmtId="0" fontId="7" fillId="4" borderId="0" xfId="59" applyFont="1" applyFill="1" applyBorder="1"/>
    <xf numFmtId="0" fontId="4" fillId="4" borderId="0" xfId="59" applyFont="1" applyFill="1" applyBorder="1"/>
    <xf numFmtId="0" fontId="7" fillId="4" borderId="0" xfId="59" applyFont="1" applyFill="1"/>
    <xf numFmtId="0" fontId="4" fillId="4" borderId="0" xfId="59" applyFont="1" applyFill="1" applyBorder="1" applyAlignment="1">
      <alignment horizontal="left" indent="1"/>
    </xf>
    <xf numFmtId="0" fontId="19" fillId="4" borderId="0" xfId="59" applyFont="1" applyFill="1" applyBorder="1" applyAlignment="1">
      <alignment horizontal="left" indent="1"/>
    </xf>
    <xf numFmtId="0" fontId="14" fillId="4" borderId="0" xfId="59" applyFont="1" applyFill="1" applyBorder="1" applyAlignment="1">
      <alignment horizontal="left"/>
    </xf>
    <xf numFmtId="0" fontId="4" fillId="4" borderId="0" xfId="59" applyFont="1" applyFill="1" applyBorder="1" applyAlignment="1">
      <alignment horizontal="center"/>
    </xf>
    <xf numFmtId="0" fontId="14" fillId="4" borderId="0" xfId="59" applyFont="1" applyFill="1" applyBorder="1" applyAlignment="1"/>
    <xf numFmtId="0" fontId="14" fillId="4" borderId="0" xfId="59" applyFont="1" applyFill="1" applyBorder="1" applyAlignment="1">
      <alignment horizontal="right"/>
    </xf>
    <xf numFmtId="0" fontId="23" fillId="4" borderId="0" xfId="59" applyFont="1" applyFill="1"/>
    <xf numFmtId="0" fontId="21" fillId="4" borderId="0" xfId="59" applyFont="1" applyFill="1" applyBorder="1"/>
    <xf numFmtId="0" fontId="16" fillId="4" borderId="0" xfId="59" applyFont="1" applyFill="1" applyBorder="1" applyAlignment="1">
      <alignment horizontal="right"/>
    </xf>
    <xf numFmtId="0" fontId="16" fillId="10" borderId="8" xfId="59" applyFont="1" applyFill="1" applyBorder="1" applyAlignment="1">
      <alignment horizontal="right"/>
    </xf>
    <xf numFmtId="0" fontId="7" fillId="2" borderId="0" xfId="59" applyFont="1" applyFill="1" applyBorder="1"/>
    <xf numFmtId="0" fontId="4" fillId="2" borderId="4" xfId="59" applyFont="1" applyFill="1" applyBorder="1"/>
    <xf numFmtId="0" fontId="11" fillId="0" borderId="0" xfId="59" applyFont="1" applyAlignment="1">
      <alignment vertical="center"/>
    </xf>
    <xf numFmtId="0" fontId="11" fillId="4" borderId="3" xfId="59" applyFont="1" applyFill="1" applyBorder="1" applyAlignment="1">
      <alignment vertical="center"/>
    </xf>
    <xf numFmtId="0" fontId="15" fillId="5" borderId="8" xfId="59" applyFont="1" applyFill="1" applyBorder="1" applyAlignment="1">
      <alignment horizontal="center" wrapText="1"/>
    </xf>
    <xf numFmtId="165" fontId="15" fillId="4" borderId="0" xfId="1" applyNumberFormat="1" applyFont="1" applyFill="1" applyBorder="1" applyAlignment="1">
      <alignment horizontal="center"/>
    </xf>
    <xf numFmtId="0" fontId="11" fillId="4" borderId="1" xfId="59" applyFont="1" applyFill="1" applyBorder="1" applyAlignment="1">
      <alignment vertical="center"/>
    </xf>
    <xf numFmtId="0" fontId="4" fillId="8" borderId="5" xfId="59" applyFont="1" applyFill="1" applyBorder="1" applyAlignment="1">
      <alignment horizontal="right"/>
    </xf>
    <xf numFmtId="0" fontId="4" fillId="8" borderId="34" xfId="59" applyFont="1" applyFill="1" applyBorder="1" applyAlignment="1">
      <alignment horizontal="right"/>
    </xf>
    <xf numFmtId="0" fontId="4" fillId="0" borderId="31" xfId="59" applyFont="1" applyBorder="1"/>
    <xf numFmtId="0" fontId="15" fillId="4" borderId="0" xfId="59" applyFont="1" applyFill="1" applyBorder="1" applyAlignment="1">
      <alignment horizontal="center"/>
    </xf>
    <xf numFmtId="0" fontId="7" fillId="0" borderId="0" xfId="59" applyFont="1" applyBorder="1"/>
    <xf numFmtId="0" fontId="4" fillId="8" borderId="1" xfId="59" applyFont="1" applyFill="1" applyBorder="1" applyAlignment="1">
      <alignment horizontal="right"/>
    </xf>
    <xf numFmtId="44" fontId="4" fillId="0" borderId="23" xfId="1" applyFont="1" applyBorder="1"/>
    <xf numFmtId="0" fontId="4" fillId="0" borderId="32" xfId="59" applyFont="1" applyBorder="1"/>
    <xf numFmtId="165" fontId="4" fillId="0" borderId="36" xfId="1" applyNumberFormat="1" applyFont="1" applyBorder="1"/>
    <xf numFmtId="0" fontId="7" fillId="2" borderId="0" xfId="59" applyFont="1" applyFill="1" applyBorder="1" applyAlignment="1"/>
    <xf numFmtId="0" fontId="7" fillId="2" borderId="10" xfId="59" applyFont="1" applyFill="1" applyBorder="1" applyAlignment="1">
      <alignment horizontal="center"/>
    </xf>
    <xf numFmtId="0" fontId="10" fillId="2" borderId="10" xfId="59" applyFont="1" applyFill="1" applyBorder="1" applyAlignment="1">
      <alignment horizontal="center"/>
    </xf>
    <xf numFmtId="0" fontId="18" fillId="4" borderId="0" xfId="59" applyFont="1" applyFill="1" applyBorder="1" applyAlignment="1"/>
    <xf numFmtId="0" fontId="9" fillId="2" borderId="0" xfId="59" applyFont="1" applyFill="1" applyBorder="1" applyAlignment="1">
      <alignment horizontal="center"/>
    </xf>
    <xf numFmtId="0" fontId="7" fillId="2" borderId="0" xfId="59" applyFont="1" applyFill="1" applyBorder="1" applyAlignment="1">
      <alignment horizontal="left"/>
    </xf>
    <xf numFmtId="0" fontId="4" fillId="2" borderId="0" xfId="59" applyFont="1" applyFill="1" applyBorder="1" applyAlignment="1">
      <alignment horizontal="center"/>
    </xf>
    <xf numFmtId="0" fontId="7" fillId="4" borderId="36" xfId="59" applyFont="1" applyFill="1" applyBorder="1"/>
    <xf numFmtId="0" fontId="7" fillId="4" borderId="4" xfId="59" applyFont="1" applyFill="1" applyBorder="1"/>
    <xf numFmtId="0" fontId="13" fillId="2" borderId="4" xfId="59" applyFont="1" applyFill="1" applyBorder="1" applyAlignment="1">
      <alignment horizontal="left"/>
    </xf>
    <xf numFmtId="0" fontId="17" fillId="2" borderId="4" xfId="59" applyFont="1" applyFill="1" applyBorder="1" applyAlignment="1">
      <alignment horizontal="left"/>
    </xf>
    <xf numFmtId="0" fontId="7" fillId="4" borderId="37" xfId="59" applyFont="1" applyFill="1" applyBorder="1"/>
    <xf numFmtId="0" fontId="24" fillId="7" borderId="0" xfId="0" applyFont="1" applyFill="1" applyBorder="1"/>
    <xf numFmtId="0" fontId="25" fillId="4" borderId="38" xfId="0" applyFont="1" applyFill="1" applyBorder="1" applyAlignment="1">
      <alignment horizontal="center"/>
    </xf>
    <xf numFmtId="0" fontId="26" fillId="4" borderId="38" xfId="0" applyFont="1" applyFill="1" applyBorder="1" applyAlignment="1">
      <alignment horizontal="center"/>
    </xf>
    <xf numFmtId="1" fontId="26" fillId="4" borderId="38" xfId="0" applyNumberFormat="1" applyFont="1" applyFill="1" applyBorder="1" applyAlignment="1">
      <alignment horizontal="center"/>
    </xf>
    <xf numFmtId="0" fontId="21" fillId="11" borderId="2" xfId="0" applyFont="1" applyFill="1" applyBorder="1" applyProtection="1">
      <protection locked="0"/>
    </xf>
    <xf numFmtId="165" fontId="4" fillId="6" borderId="14" xfId="1" applyNumberFormat="1" applyFont="1" applyFill="1" applyBorder="1" applyProtection="1">
      <protection locked="0"/>
    </xf>
    <xf numFmtId="4" fontId="4" fillId="6" borderId="20" xfId="0" applyNumberFormat="1" applyFont="1" applyFill="1" applyBorder="1" applyProtection="1">
      <protection locked="0"/>
    </xf>
    <xf numFmtId="0" fontId="4" fillId="6" borderId="30" xfId="0" applyFont="1" applyFill="1" applyBorder="1" applyAlignment="1" applyProtection="1">
      <protection locked="0"/>
    </xf>
    <xf numFmtId="0" fontId="4" fillId="2" borderId="0" xfId="0" applyFont="1" applyFill="1" applyBorder="1" applyAlignment="1">
      <alignment horizontal="center"/>
    </xf>
    <xf numFmtId="0" fontId="4" fillId="0" borderId="52" xfId="0" applyFont="1" applyBorder="1" applyProtection="1"/>
    <xf numFmtId="165" fontId="4" fillId="6" borderId="53" xfId="1" applyNumberFormat="1" applyFont="1" applyFill="1" applyBorder="1" applyProtection="1">
      <protection locked="0"/>
    </xf>
    <xf numFmtId="165" fontId="4" fillId="7" borderId="54" xfId="1" applyNumberFormat="1" applyFont="1" applyFill="1" applyBorder="1"/>
    <xf numFmtId="0" fontId="14" fillId="7" borderId="55" xfId="0" applyFont="1" applyFill="1" applyBorder="1"/>
    <xf numFmtId="0" fontId="4" fillId="7" borderId="56" xfId="0" applyFont="1" applyFill="1" applyBorder="1"/>
    <xf numFmtId="0" fontId="4" fillId="0" borderId="57" xfId="0" applyFont="1" applyBorder="1" applyProtection="1"/>
    <xf numFmtId="165" fontId="4" fillId="6" borderId="58" xfId="1" applyNumberFormat="1" applyFont="1" applyFill="1" applyBorder="1" applyProtection="1">
      <protection locked="0"/>
    </xf>
    <xf numFmtId="165" fontId="4" fillId="7" borderId="59" xfId="1" applyNumberFormat="1" applyFont="1" applyFill="1" applyBorder="1"/>
    <xf numFmtId="0" fontId="14" fillId="7" borderId="60" xfId="0" applyFont="1" applyFill="1" applyBorder="1"/>
    <xf numFmtId="0" fontId="4" fillId="7" borderId="61" xfId="0" applyFont="1" applyFill="1" applyBorder="1"/>
    <xf numFmtId="0" fontId="4" fillId="0" borderId="62" xfId="0" applyFont="1" applyBorder="1"/>
    <xf numFmtId="3" fontId="4" fillId="6" borderId="63" xfId="0" applyNumberFormat="1" applyFont="1" applyFill="1" applyBorder="1" applyProtection="1">
      <protection locked="0"/>
    </xf>
    <xf numFmtId="3" fontId="4" fillId="7" borderId="63" xfId="0" applyNumberFormat="1" applyFont="1" applyFill="1" applyBorder="1"/>
    <xf numFmtId="0" fontId="14" fillId="7" borderId="64" xfId="0" applyFont="1" applyFill="1" applyBorder="1"/>
    <xf numFmtId="0" fontId="4" fillId="7" borderId="65" xfId="0" applyFont="1" applyFill="1" applyBorder="1"/>
    <xf numFmtId="0" fontId="4" fillId="0" borderId="52" xfId="0" applyFont="1" applyFill="1" applyBorder="1"/>
    <xf numFmtId="3" fontId="4" fillId="6" borderId="53" xfId="0" applyNumberFormat="1" applyFont="1" applyFill="1" applyBorder="1" applyProtection="1">
      <protection locked="0"/>
    </xf>
    <xf numFmtId="0" fontId="4" fillId="7" borderId="55" xfId="0" applyFont="1" applyFill="1" applyBorder="1"/>
    <xf numFmtId="0" fontId="4" fillId="0" borderId="57" xfId="0" applyFont="1" applyFill="1" applyBorder="1"/>
    <xf numFmtId="3" fontId="4" fillId="6" borderId="58" xfId="0" applyNumberFormat="1" applyFont="1" applyFill="1" applyBorder="1" applyProtection="1">
      <protection locked="0"/>
    </xf>
    <xf numFmtId="0" fontId="4" fillId="7" borderId="59" xfId="0" applyFont="1" applyFill="1" applyBorder="1"/>
    <xf numFmtId="0" fontId="4" fillId="0" borderId="66" xfId="0" applyFont="1" applyBorder="1"/>
    <xf numFmtId="44" fontId="4" fillId="6" borderId="58" xfId="1" applyFont="1" applyFill="1" applyBorder="1" applyProtection="1">
      <protection locked="0"/>
    </xf>
    <xf numFmtId="44" fontId="4" fillId="7" borderId="59" xfId="1" applyFont="1" applyFill="1" applyBorder="1" applyAlignment="1">
      <alignment horizontal="left"/>
    </xf>
    <xf numFmtId="0" fontId="4" fillId="0" borderId="67" xfId="0" applyFont="1" applyBorder="1"/>
    <xf numFmtId="165" fontId="4" fillId="7" borderId="55" xfId="1" applyNumberFormat="1" applyFont="1" applyFill="1" applyBorder="1"/>
    <xf numFmtId="0" fontId="4" fillId="2" borderId="0" xfId="59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21" fillId="9" borderId="2" xfId="59" applyFont="1" applyFill="1" applyBorder="1" applyProtection="1">
      <protection locked="0"/>
    </xf>
    <xf numFmtId="3" fontId="4" fillId="6" borderId="17" xfId="59" applyNumberFormat="1" applyFont="1" applyFill="1" applyBorder="1" applyProtection="1">
      <protection locked="0"/>
    </xf>
    <xf numFmtId="3" fontId="4" fillId="6" borderId="13" xfId="59" applyNumberFormat="1" applyFont="1" applyFill="1" applyBorder="1" applyProtection="1">
      <protection locked="0"/>
    </xf>
    <xf numFmtId="3" fontId="4" fillId="6" borderId="14" xfId="59" applyNumberFormat="1" applyFont="1" applyFill="1" applyBorder="1" applyProtection="1">
      <protection locked="0"/>
    </xf>
    <xf numFmtId="44" fontId="4" fillId="6" borderId="14" xfId="1" applyFont="1" applyFill="1" applyBorder="1" applyProtection="1">
      <protection locked="0"/>
    </xf>
    <xf numFmtId="4" fontId="4" fillId="6" borderId="20" xfId="59" applyNumberFormat="1" applyFont="1" applyFill="1" applyBorder="1" applyProtection="1">
      <protection locked="0"/>
    </xf>
    <xf numFmtId="4" fontId="4" fillId="6" borderId="0" xfId="59" applyNumberFormat="1" applyFont="1" applyFill="1" applyBorder="1" applyAlignment="1" applyProtection="1">
      <protection locked="0"/>
    </xf>
    <xf numFmtId="0" fontId="4" fillId="6" borderId="30" xfId="59" applyFont="1" applyFill="1" applyBorder="1" applyAlignment="1" applyProtection="1">
      <protection locked="0"/>
    </xf>
    <xf numFmtId="165" fontId="4" fillId="6" borderId="13" xfId="1" applyNumberFormat="1" applyFont="1" applyFill="1" applyBorder="1" applyProtection="1">
      <protection locked="0"/>
    </xf>
    <xf numFmtId="0" fontId="14" fillId="2" borderId="0" xfId="59" applyFont="1" applyFill="1" applyBorder="1" applyAlignment="1">
      <alignment horizontal="left"/>
    </xf>
    <xf numFmtId="0" fontId="24" fillId="7" borderId="60" xfId="0" applyFont="1" applyFill="1" applyBorder="1"/>
    <xf numFmtId="44" fontId="27" fillId="6" borderId="68" xfId="1" applyFont="1" applyFill="1" applyBorder="1" applyProtection="1">
      <protection locked="0"/>
    </xf>
    <xf numFmtId="2" fontId="27" fillId="7" borderId="59" xfId="1" applyNumberFormat="1" applyFont="1" applyFill="1" applyBorder="1" applyAlignment="1">
      <alignment vertical="center"/>
    </xf>
    <xf numFmtId="2" fontId="4" fillId="12" borderId="17" xfId="0" applyNumberFormat="1" applyFont="1" applyFill="1" applyBorder="1" applyAlignment="1">
      <alignment vertical="center"/>
    </xf>
    <xf numFmtId="0" fontId="14" fillId="12" borderId="0" xfId="0" applyFont="1" applyFill="1" applyBorder="1"/>
    <xf numFmtId="44" fontId="27" fillId="6" borderId="14" xfId="1" applyFont="1" applyFill="1" applyBorder="1" applyProtection="1">
      <protection locked="0"/>
    </xf>
    <xf numFmtId="0" fontId="0" fillId="13" borderId="0" xfId="0" applyFill="1"/>
    <xf numFmtId="0" fontId="0" fillId="13" borderId="6" xfId="0" applyFill="1" applyBorder="1"/>
    <xf numFmtId="0" fontId="0" fillId="13" borderId="3" xfId="0" applyFill="1" applyBorder="1"/>
    <xf numFmtId="0" fontId="28" fillId="14" borderId="39" xfId="0" applyFont="1" applyFill="1" applyBorder="1" applyAlignment="1">
      <alignment horizontal="center"/>
    </xf>
    <xf numFmtId="0" fontId="28" fillId="14" borderId="10" xfId="0" applyFont="1" applyFill="1" applyBorder="1"/>
    <xf numFmtId="0" fontId="16" fillId="14" borderId="7" xfId="0" applyFont="1" applyFill="1" applyBorder="1"/>
    <xf numFmtId="0" fontId="4" fillId="0" borderId="70" xfId="0" applyFont="1" applyBorder="1"/>
    <xf numFmtId="44" fontId="4" fillId="15" borderId="71" xfId="0" applyNumberFormat="1" applyFont="1" applyFill="1" applyBorder="1" applyProtection="1">
      <protection locked="0"/>
    </xf>
    <xf numFmtId="2" fontId="4" fillId="12" borderId="72" xfId="0" applyNumberFormat="1" applyFont="1" applyFill="1" applyBorder="1" applyAlignment="1">
      <alignment vertical="center"/>
    </xf>
    <xf numFmtId="0" fontId="14" fillId="12" borderId="72" xfId="0" applyFont="1" applyFill="1" applyBorder="1"/>
    <xf numFmtId="0" fontId="4" fillId="12" borderId="73" xfId="0" applyFont="1" applyFill="1" applyBorder="1"/>
    <xf numFmtId="0" fontId="4" fillId="16" borderId="5" xfId="0" applyFont="1" applyFill="1" applyBorder="1" applyAlignment="1">
      <alignment horizontal="right"/>
    </xf>
    <xf numFmtId="168" fontId="4" fillId="16" borderId="6" xfId="0" applyNumberFormat="1" applyFont="1" applyFill="1" applyBorder="1"/>
    <xf numFmtId="0" fontId="4" fillId="16" borderId="6" xfId="0" applyFont="1" applyFill="1" applyBorder="1"/>
    <xf numFmtId="0" fontId="4" fillId="16" borderId="7" xfId="0" applyFont="1" applyFill="1" applyBorder="1"/>
    <xf numFmtId="0" fontId="0" fillId="13" borderId="7" xfId="0" applyFill="1" applyBorder="1"/>
    <xf numFmtId="0" fontId="4" fillId="4" borderId="4" xfId="59" applyFont="1" applyFill="1" applyBorder="1" applyAlignment="1">
      <alignment horizontal="right"/>
    </xf>
    <xf numFmtId="0" fontId="4" fillId="4" borderId="4" xfId="59" applyFont="1" applyFill="1" applyBorder="1"/>
    <xf numFmtId="0" fontId="0" fillId="13" borderId="0" xfId="0" applyFill="1" applyBorder="1"/>
    <xf numFmtId="44" fontId="4" fillId="6" borderId="74" xfId="1" applyFont="1" applyFill="1" applyBorder="1" applyProtection="1">
      <protection locked="0"/>
    </xf>
    <xf numFmtId="0" fontId="27" fillId="0" borderId="75" xfId="0" applyFont="1" applyFill="1" applyBorder="1"/>
    <xf numFmtId="0" fontId="14" fillId="4" borderId="76" xfId="0" applyFont="1" applyFill="1" applyBorder="1" applyAlignment="1">
      <alignment horizontal="center"/>
    </xf>
    <xf numFmtId="4" fontId="27" fillId="7" borderId="77" xfId="0" applyNumberFormat="1" applyFont="1" applyFill="1" applyBorder="1"/>
    <xf numFmtId="0" fontId="24" fillId="7" borderId="77" xfId="0" applyFont="1" applyFill="1" applyBorder="1"/>
    <xf numFmtId="0" fontId="27" fillId="7" borderId="78" xfId="0" applyFont="1" applyFill="1" applyBorder="1"/>
    <xf numFmtId="0" fontId="4" fillId="4" borderId="4" xfId="0" applyFont="1" applyFill="1" applyBorder="1" applyAlignment="1">
      <alignment horizontal="right"/>
    </xf>
    <xf numFmtId="0" fontId="4" fillId="4" borderId="4" xfId="0" applyFont="1" applyFill="1" applyBorder="1"/>
    <xf numFmtId="0" fontId="28" fillId="14" borderId="8" xfId="0" applyFont="1" applyFill="1" applyBorder="1" applyAlignment="1">
      <alignment horizontal="center"/>
    </xf>
    <xf numFmtId="0" fontId="28" fillId="14" borderId="69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left"/>
    </xf>
    <xf numFmtId="0" fontId="15" fillId="5" borderId="39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center"/>
    </xf>
    <xf numFmtId="0" fontId="15" fillId="5" borderId="7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left"/>
    </xf>
    <xf numFmtId="0" fontId="18" fillId="6" borderId="8" xfId="0" applyFont="1" applyFill="1" applyBorder="1" applyAlignment="1">
      <alignment horizontal="center"/>
    </xf>
    <xf numFmtId="0" fontId="18" fillId="6" borderId="9" xfId="0" applyFont="1" applyFill="1" applyBorder="1" applyAlignment="1">
      <alignment horizontal="center"/>
    </xf>
    <xf numFmtId="0" fontId="18" fillId="9" borderId="8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5" fillId="5" borderId="8" xfId="59" applyFont="1" applyFill="1" applyBorder="1" applyAlignment="1">
      <alignment horizontal="left"/>
    </xf>
    <xf numFmtId="0" fontId="15" fillId="5" borderId="10" xfId="59" applyFont="1" applyFill="1" applyBorder="1" applyAlignment="1">
      <alignment horizontal="left"/>
    </xf>
    <xf numFmtId="0" fontId="15" fillId="5" borderId="9" xfId="59" applyFont="1" applyFill="1" applyBorder="1" applyAlignment="1">
      <alignment horizontal="left"/>
    </xf>
    <xf numFmtId="0" fontId="20" fillId="4" borderId="0" xfId="59" applyFont="1" applyFill="1" applyBorder="1" applyAlignment="1">
      <alignment horizontal="right"/>
    </xf>
    <xf numFmtId="0" fontId="15" fillId="5" borderId="39" xfId="59" applyFont="1" applyFill="1" applyBorder="1" applyAlignment="1">
      <alignment horizontal="left"/>
    </xf>
    <xf numFmtId="0" fontId="14" fillId="7" borderId="50" xfId="59" applyFont="1" applyFill="1" applyBorder="1" applyAlignment="1">
      <alignment horizontal="left"/>
    </xf>
    <xf numFmtId="0" fontId="14" fillId="7" borderId="51" xfId="59" applyFont="1" applyFill="1" applyBorder="1" applyAlignment="1">
      <alignment horizontal="left"/>
    </xf>
    <xf numFmtId="0" fontId="19" fillId="4" borderId="0" xfId="59" applyFont="1" applyFill="1" applyBorder="1" applyAlignment="1">
      <alignment horizontal="right"/>
    </xf>
    <xf numFmtId="0" fontId="4" fillId="4" borderId="0" xfId="59" applyFont="1" applyFill="1" applyBorder="1" applyAlignment="1">
      <alignment horizontal="right"/>
    </xf>
    <xf numFmtId="0" fontId="15" fillId="5" borderId="8" xfId="59" applyFont="1" applyFill="1" applyBorder="1" applyAlignment="1">
      <alignment horizontal="center"/>
    </xf>
    <xf numFmtId="0" fontId="15" fillId="5" borderId="9" xfId="59" applyFont="1" applyFill="1" applyBorder="1" applyAlignment="1">
      <alignment horizontal="center"/>
    </xf>
    <xf numFmtId="0" fontId="15" fillId="5" borderId="5" xfId="59" applyFont="1" applyFill="1" applyBorder="1" applyAlignment="1">
      <alignment horizontal="center"/>
    </xf>
    <xf numFmtId="0" fontId="15" fillId="5" borderId="7" xfId="59" applyFont="1" applyFill="1" applyBorder="1" applyAlignment="1">
      <alignment horizontal="center"/>
    </xf>
    <xf numFmtId="0" fontId="8" fillId="3" borderId="8" xfId="59" applyFont="1" applyFill="1" applyBorder="1" applyAlignment="1">
      <alignment horizontal="center"/>
    </xf>
    <xf numFmtId="0" fontId="8" fillId="3" borderId="10" xfId="59" applyFont="1" applyFill="1" applyBorder="1" applyAlignment="1">
      <alignment horizontal="center"/>
    </xf>
    <xf numFmtId="0" fontId="8" fillId="3" borderId="9" xfId="59" applyFont="1" applyFill="1" applyBorder="1" applyAlignment="1">
      <alignment horizontal="center"/>
    </xf>
    <xf numFmtId="0" fontId="4" fillId="2" borderId="0" xfId="59" applyFont="1" applyFill="1" applyBorder="1" applyAlignment="1">
      <alignment horizontal="center"/>
    </xf>
    <xf numFmtId="0" fontId="18" fillId="6" borderId="8" xfId="59" applyFont="1" applyFill="1" applyBorder="1" applyAlignment="1">
      <alignment horizontal="center"/>
    </xf>
    <xf numFmtId="0" fontId="18" fillId="6" borderId="9" xfId="59" applyFont="1" applyFill="1" applyBorder="1" applyAlignment="1">
      <alignment horizontal="center"/>
    </xf>
    <xf numFmtId="0" fontId="18" fillId="9" borderId="8" xfId="59" applyFont="1" applyFill="1" applyBorder="1" applyAlignment="1">
      <alignment horizontal="center"/>
    </xf>
    <xf numFmtId="0" fontId="4" fillId="9" borderId="9" xfId="59" applyFont="1" applyFill="1" applyBorder="1" applyAlignment="1">
      <alignment horizontal="center"/>
    </xf>
  </cellXfs>
  <cellStyles count="85">
    <cellStyle name="Comma" xfId="2" builtinId="3"/>
    <cellStyle name="Comma 2" xfId="60"/>
    <cellStyle name="Currency" xfId="1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Normal" xfId="0" builtinId="0"/>
    <cellStyle name="Normal 2" xfId="5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CA7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thedairylandinitiative.vetmed.wisc.edu/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thedairylandinitiative.vetmed.wisc.edu/" TargetMode="External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1790700</xdr:colOff>
      <xdr:row>1</xdr:row>
      <xdr:rowOff>177800</xdr:rowOff>
    </xdr:from>
    <xdr:to>
      <xdr:col>4</xdr:col>
      <xdr:colOff>4254500</xdr:colOff>
      <xdr:row>7</xdr:row>
      <xdr:rowOff>114300</xdr:rowOff>
    </xdr:to>
    <xdr:pic>
      <xdr:nvPicPr>
        <xdr:cNvPr id="4" name="Picture 5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0" y="520700"/>
          <a:ext cx="24638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1714500</xdr:colOff>
      <xdr:row>0</xdr:row>
      <xdr:rowOff>163317</xdr:rowOff>
    </xdr:from>
    <xdr:to>
      <xdr:col>4</xdr:col>
      <xdr:colOff>4089400</xdr:colOff>
      <xdr:row>5</xdr:row>
      <xdr:rowOff>139700</xdr:rowOff>
    </xdr:to>
    <xdr:pic>
      <xdr:nvPicPr>
        <xdr:cNvPr id="3" name="Picture 2" descr="Dairyland_horiz_web_whtbkg_small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0300" y="163317"/>
          <a:ext cx="2374900" cy="1195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63"/>
  <sheetViews>
    <sheetView tabSelected="1" workbookViewId="0">
      <selection activeCell="C38" sqref="C38"/>
    </sheetView>
  </sheetViews>
  <sheetFormatPr baseColWidth="10" defaultColWidth="8.6640625" defaultRowHeight="14" x14ac:dyDescent="0"/>
  <cols>
    <col min="1" max="1" width="3" style="4" customWidth="1"/>
    <col min="2" max="2" width="59.33203125" style="4" customWidth="1"/>
    <col min="3" max="3" width="16.1640625" style="4" customWidth="1"/>
    <col min="4" max="4" width="13.83203125" style="4" bestFit="1" customWidth="1"/>
    <col min="5" max="5" width="59.33203125" style="4" customWidth="1"/>
    <col min="6" max="6" width="19.1640625" style="4" customWidth="1"/>
    <col min="7" max="7" width="3" style="4" customWidth="1"/>
    <col min="8" max="8" width="9.1640625" style="4" customWidth="1"/>
    <col min="9" max="10" width="1.6640625" style="4" customWidth="1"/>
    <col min="11" max="16384" width="8.6640625" style="4"/>
  </cols>
  <sheetData>
    <row r="1" spans="1:10" ht="27.75" customHeight="1">
      <c r="A1" s="1"/>
      <c r="B1" s="286" t="s">
        <v>81</v>
      </c>
      <c r="C1" s="286"/>
      <c r="D1" s="286"/>
      <c r="E1" s="286"/>
      <c r="F1" s="2"/>
      <c r="G1" s="3"/>
      <c r="I1" s="195" t="s">
        <v>72</v>
      </c>
      <c r="J1" s="195" t="s">
        <v>73</v>
      </c>
    </row>
    <row r="2" spans="1:10" ht="18" customHeight="1">
      <c r="A2" s="5"/>
      <c r="B2" s="291" t="s">
        <v>66</v>
      </c>
      <c r="C2" s="291"/>
      <c r="D2" s="291"/>
      <c r="E2" s="6"/>
      <c r="F2" s="7"/>
      <c r="G2" s="8"/>
      <c r="H2" s="9"/>
      <c r="I2" s="196">
        <v>-15</v>
      </c>
      <c r="J2" s="197">
        <f t="shared" ref="J2:J33" si="0">-5.853402 + (136.3817*I2)</f>
        <v>-2051.5789020000002</v>
      </c>
    </row>
    <row r="3" spans="1:10" ht="17" customHeight="1">
      <c r="A3" s="5"/>
      <c r="B3" s="291" t="s">
        <v>13</v>
      </c>
      <c r="C3" s="291"/>
      <c r="D3" s="291"/>
      <c r="E3" s="6"/>
      <c r="F3" s="7"/>
      <c r="G3" s="8"/>
      <c r="H3" s="9"/>
      <c r="I3" s="196">
        <v>-14</v>
      </c>
      <c r="J3" s="197">
        <f t="shared" si="0"/>
        <v>-1915.1972019999998</v>
      </c>
    </row>
    <row r="4" spans="1:10" ht="10" customHeight="1">
      <c r="A4" s="5"/>
      <c r="B4" s="202"/>
      <c r="C4" s="202"/>
      <c r="D4" s="202"/>
      <c r="E4" s="6"/>
      <c r="F4" s="7"/>
      <c r="G4" s="8"/>
      <c r="H4" s="9"/>
      <c r="I4" s="196">
        <v>-13</v>
      </c>
      <c r="J4" s="197">
        <f>-5.853402 + (136.3817*I4)</f>
        <v>-1778.8155019999999</v>
      </c>
    </row>
    <row r="5" spans="1:10" ht="17.25" customHeight="1">
      <c r="A5" s="5"/>
      <c r="B5" s="230" t="s">
        <v>96</v>
      </c>
      <c r="C5" s="202"/>
      <c r="D5" s="202"/>
      <c r="E5" s="6"/>
      <c r="F5" s="7"/>
      <c r="G5" s="8"/>
      <c r="H5" s="9"/>
      <c r="I5" s="196">
        <v>-12</v>
      </c>
      <c r="J5" s="197">
        <f>-5.853402 + (136.3817*I5)</f>
        <v>-1642.4338019999998</v>
      </c>
    </row>
    <row r="6" spans="1:10" ht="11" customHeight="1" thickBot="1">
      <c r="A6" s="5"/>
      <c r="B6" s="10"/>
      <c r="C6" s="24"/>
      <c r="D6" s="25"/>
      <c r="E6" s="25"/>
      <c r="F6" s="7"/>
      <c r="G6" s="8"/>
      <c r="I6" s="196">
        <v>-11</v>
      </c>
      <c r="J6" s="197">
        <f>-5.853402 + (136.3817*I6)</f>
        <v>-1506.0521019999999</v>
      </c>
    </row>
    <row r="7" spans="1:10" ht="16.25" customHeight="1" thickBot="1">
      <c r="A7" s="5"/>
      <c r="B7" s="287" t="s">
        <v>82</v>
      </c>
      <c r="C7" s="288"/>
      <c r="D7" s="26"/>
      <c r="E7" s="6"/>
      <c r="F7" s="7"/>
      <c r="G7" s="8"/>
      <c r="H7" s="9"/>
      <c r="I7" s="196">
        <v>-10</v>
      </c>
      <c r="J7" s="197">
        <f>-5.853402 + (136.3817*I7)</f>
        <v>-1369.670402</v>
      </c>
    </row>
    <row r="8" spans="1:10" ht="16" thickBot="1">
      <c r="A8" s="5"/>
      <c r="B8" s="289" t="s">
        <v>83</v>
      </c>
      <c r="C8" s="290"/>
      <c r="D8" s="26"/>
      <c r="E8" s="6"/>
      <c r="F8" s="7"/>
      <c r="G8" s="8"/>
      <c r="H8" s="9"/>
      <c r="I8" s="196">
        <v>-9</v>
      </c>
      <c r="J8" s="197">
        <f>-5.853402 + (136.3817*I8)</f>
        <v>-1233.2887019999998</v>
      </c>
    </row>
    <row r="9" spans="1:10" ht="16.25" customHeight="1" thickBot="1">
      <c r="A9" s="5"/>
      <c r="B9" s="292"/>
      <c r="C9" s="292"/>
      <c r="D9" s="293"/>
      <c r="E9" s="294"/>
      <c r="F9" s="294"/>
      <c r="G9" s="8"/>
      <c r="H9" s="9"/>
      <c r="I9" s="196">
        <v>-8</v>
      </c>
      <c r="J9" s="197">
        <f>-5.853402 + (136.3817*I9)</f>
        <v>-1096.9070019999999</v>
      </c>
    </row>
    <row r="10" spans="1:10" ht="19" thickBot="1">
      <c r="A10" s="5"/>
      <c r="B10" s="283" t="s">
        <v>9</v>
      </c>
      <c r="C10" s="285"/>
      <c r="D10" s="27"/>
      <c r="E10" s="283" t="s">
        <v>85</v>
      </c>
      <c r="F10" s="285"/>
      <c r="G10" s="8"/>
      <c r="H10" s="9"/>
      <c r="I10" s="196">
        <v>-7</v>
      </c>
      <c r="J10" s="197">
        <f>-5.853402 + (136.3817*I10)</f>
        <v>-960.5253019999999</v>
      </c>
    </row>
    <row r="11" spans="1:10" ht="18" customHeight="1" thickBot="1">
      <c r="A11" s="5"/>
      <c r="B11" s="278" t="s">
        <v>29</v>
      </c>
      <c r="C11" s="279"/>
      <c r="D11" s="28"/>
      <c r="E11" s="280" t="s">
        <v>10</v>
      </c>
      <c r="F11" s="281"/>
      <c r="G11" s="8"/>
      <c r="I11" s="196">
        <v>-6</v>
      </c>
      <c r="J11" s="197">
        <f>-5.853402 + (136.3817*I11)</f>
        <v>-824.14360199999987</v>
      </c>
    </row>
    <row r="12" spans="1:10" ht="15">
      <c r="A12" s="5"/>
      <c r="B12" s="29" t="s">
        <v>14</v>
      </c>
      <c r="C12" s="30">
        <f>HerdSize*Add_milk_cow_yr*Milk_price_lb</f>
        <v>316393.7844599997</v>
      </c>
      <c r="D12" s="31"/>
      <c r="E12" s="29" t="s">
        <v>15</v>
      </c>
      <c r="F12" s="30">
        <f>HerdSize*Add_milk_cow_yr*LbDM_lbMilk*Cost_lbDM</f>
        <v>87008.290726499923</v>
      </c>
      <c r="G12" s="8"/>
      <c r="I12" s="196">
        <v>-5</v>
      </c>
      <c r="J12" s="197">
        <f>-5.853402 + (136.3817*I12)</f>
        <v>-687.76190199999996</v>
      </c>
    </row>
    <row r="13" spans="1:10" ht="15">
      <c r="A13" s="5"/>
      <c r="B13" s="32" t="s">
        <v>19</v>
      </c>
      <c r="C13" s="33"/>
      <c r="D13" s="34"/>
      <c r="E13" s="32" t="s">
        <v>42</v>
      </c>
      <c r="F13" s="30">
        <f>PMT(Interest,PayPeriod,CostCapImprov)*-1</f>
        <v>217116.31024057206</v>
      </c>
      <c r="G13" s="8"/>
      <c r="I13" s="196">
        <v>-3</v>
      </c>
      <c r="J13" s="197">
        <f>-5.853402 + (136.3817*I13)</f>
        <v>-414.99850199999997</v>
      </c>
    </row>
    <row r="14" spans="1:10" ht="0.75" hidden="1" customHeight="1" thickBot="1">
      <c r="A14" s="5"/>
      <c r="B14" s="29"/>
      <c r="C14" s="30"/>
      <c r="D14" s="34"/>
      <c r="E14" s="29"/>
      <c r="F14" s="30"/>
      <c r="G14" s="8"/>
      <c r="I14" s="196">
        <v>-2</v>
      </c>
      <c r="J14" s="197">
        <f>-5.853402 + (136.3817*I14)</f>
        <v>-278.61680200000001</v>
      </c>
    </row>
    <row r="15" spans="1:10" ht="16.5" customHeight="1" thickBot="1">
      <c r="A15" s="5"/>
      <c r="B15" s="35" t="s">
        <v>44</v>
      </c>
      <c r="C15" s="36">
        <f>SUM(C12:C13)</f>
        <v>316393.7844599997</v>
      </c>
      <c r="D15" s="37"/>
      <c r="E15" s="35" t="s">
        <v>46</v>
      </c>
      <c r="F15" s="38">
        <f>SUM(F12:F13)</f>
        <v>304124.60096707195</v>
      </c>
      <c r="G15" s="8"/>
      <c r="H15" s="9"/>
      <c r="I15" s="196">
        <v>-1</v>
      </c>
      <c r="J15" s="197">
        <f>-5.853402 + (136.3817*I15)</f>
        <v>-142.23510199999998</v>
      </c>
    </row>
    <row r="16" spans="1:10" ht="18" customHeight="1" thickBot="1">
      <c r="A16" s="5"/>
      <c r="B16" s="280" t="s">
        <v>11</v>
      </c>
      <c r="C16" s="281"/>
      <c r="D16" s="28"/>
      <c r="E16" s="280" t="s">
        <v>12</v>
      </c>
      <c r="F16" s="281"/>
      <c r="G16" s="8"/>
      <c r="I16" s="196">
        <v>0</v>
      </c>
      <c r="J16" s="197">
        <f>-5.853402 + (136.3817*I16)</f>
        <v>-5.853402</v>
      </c>
    </row>
    <row r="17" spans="1:10" ht="15">
      <c r="A17" s="5"/>
      <c r="B17" s="29" t="s">
        <v>43</v>
      </c>
      <c r="C17" s="30">
        <f>ReducCulls_Yr*CostReplHfr</f>
        <v>38940.773472000001</v>
      </c>
      <c r="D17" s="31"/>
      <c r="E17" s="39" t="s">
        <v>26</v>
      </c>
      <c r="F17" s="40">
        <f>ReducCulls_Yr*PriceCullCow</f>
        <v>25960.515648000001</v>
      </c>
      <c r="G17" s="8"/>
      <c r="I17" s="196">
        <v>1</v>
      </c>
      <c r="J17" s="197">
        <f>-5.853402 + (136.3817*I17)</f>
        <v>130.52829800000001</v>
      </c>
    </row>
    <row r="18" spans="1:10" ht="16" customHeight="1" thickBot="1">
      <c r="A18" s="5"/>
      <c r="B18" s="41" t="s">
        <v>45</v>
      </c>
      <c r="C18" s="38">
        <f>SUM(C17:C17)</f>
        <v>38940.773472000001</v>
      </c>
      <c r="D18" s="37"/>
      <c r="E18" s="42" t="s">
        <v>47</v>
      </c>
      <c r="F18" s="36">
        <f>SUM(F17)</f>
        <v>25960.515648000001</v>
      </c>
      <c r="G18" s="8"/>
      <c r="I18" s="196">
        <v>2</v>
      </c>
      <c r="J18" s="197">
        <f>-5.853402 + (136.3817*I18)</f>
        <v>266.90999799999997</v>
      </c>
    </row>
    <row r="19" spans="1:10" s="13" customFormat="1" ht="18" customHeight="1" thickBot="1">
      <c r="A19" s="11"/>
      <c r="B19" s="43" t="s">
        <v>31</v>
      </c>
      <c r="C19" s="44">
        <f>C15+C18</f>
        <v>355334.55793199968</v>
      </c>
      <c r="D19" s="45"/>
      <c r="E19" s="43" t="s">
        <v>30</v>
      </c>
      <c r="F19" s="44">
        <f>F15+F18</f>
        <v>330085.11661507195</v>
      </c>
      <c r="G19" s="12"/>
      <c r="I19" s="196">
        <v>3</v>
      </c>
      <c r="J19" s="197">
        <f>-5.853402 + (136.3817*I19)</f>
        <v>403.29169799999994</v>
      </c>
    </row>
    <row r="20" spans="1:10" ht="19" thickBot="1">
      <c r="A20" s="5"/>
      <c r="B20" s="46"/>
      <c r="C20" s="17"/>
      <c r="D20" s="6"/>
      <c r="E20" s="94" t="s">
        <v>32</v>
      </c>
      <c r="F20" s="95">
        <f>C19-F19</f>
        <v>25249.441316927725</v>
      </c>
      <c r="G20" s="14"/>
      <c r="I20" s="196">
        <v>4</v>
      </c>
      <c r="J20" s="197">
        <f>-5.853402 + (136.3817*I20)</f>
        <v>539.67339800000002</v>
      </c>
    </row>
    <row r="21" spans="1:10" ht="19" thickBot="1">
      <c r="A21" s="5"/>
      <c r="B21" s="15"/>
      <c r="C21" s="6"/>
      <c r="D21" s="6"/>
      <c r="E21" s="47"/>
      <c r="F21" s="48"/>
      <c r="G21" s="8"/>
      <c r="I21" s="196">
        <v>5</v>
      </c>
      <c r="J21" s="197">
        <f>-5.853402 + (136.3817*I21)</f>
        <v>676.05509800000004</v>
      </c>
    </row>
    <row r="22" spans="1:10" ht="26" thickBot="1">
      <c r="A22" s="5"/>
      <c r="B22" s="282" t="s">
        <v>79</v>
      </c>
      <c r="C22" s="282"/>
      <c r="D22" s="198">
        <v>5</v>
      </c>
      <c r="E22" s="97" t="s">
        <v>74</v>
      </c>
      <c r="F22" s="96"/>
      <c r="G22" s="8"/>
      <c r="I22" s="196">
        <v>6</v>
      </c>
      <c r="J22" s="197">
        <f>-5.853402 + (136.3817*I22)</f>
        <v>812.43679799999995</v>
      </c>
    </row>
    <row r="23" spans="1:10" s="23" customFormat="1" ht="15">
      <c r="A23" s="89"/>
      <c r="B23" s="90"/>
      <c r="C23" s="90"/>
      <c r="D23" s="98" t="s">
        <v>86</v>
      </c>
      <c r="E23" s="90"/>
      <c r="F23" s="15"/>
      <c r="G23" s="91"/>
      <c r="I23" s="196">
        <v>7</v>
      </c>
      <c r="J23" s="197">
        <f>-5.853402 + (136.3817*I23)</f>
        <v>948.81849799999998</v>
      </c>
    </row>
    <row r="24" spans="1:10" s="23" customFormat="1" ht="15">
      <c r="A24" s="89"/>
      <c r="B24" s="90"/>
      <c r="C24" s="90"/>
      <c r="D24" s="98"/>
      <c r="E24" s="90"/>
      <c r="F24" s="15"/>
      <c r="G24" s="91"/>
      <c r="I24" s="196">
        <v>8</v>
      </c>
      <c r="J24" s="197">
        <f>-5.853402 + (136.3817*I24)</f>
        <v>1085.200198</v>
      </c>
    </row>
    <row r="25" spans="1:10" s="23" customFormat="1" ht="15">
      <c r="A25" s="89"/>
      <c r="B25" s="99"/>
      <c r="C25" s="99"/>
      <c r="D25" s="100" t="s">
        <v>61</v>
      </c>
      <c r="E25" s="101" t="s">
        <v>77</v>
      </c>
      <c r="F25" s="15"/>
      <c r="G25" s="91"/>
      <c r="I25" s="196">
        <v>9</v>
      </c>
      <c r="J25" s="197">
        <f>-5.853402 + (136.3817*I25)</f>
        <v>1221.5818979999999</v>
      </c>
    </row>
    <row r="26" spans="1:10" s="23" customFormat="1" ht="15">
      <c r="A26" s="89"/>
      <c r="B26" s="90"/>
      <c r="C26" s="99"/>
      <c r="D26" s="102" t="s">
        <v>62</v>
      </c>
      <c r="E26" s="103">
        <v>7</v>
      </c>
      <c r="F26" s="15"/>
      <c r="G26" s="91"/>
      <c r="I26" s="196">
        <v>10</v>
      </c>
      <c r="J26" s="197">
        <f>-5.853402 + (136.3817*I26)</f>
        <v>1357.963598</v>
      </c>
    </row>
    <row r="27" spans="1:10" s="23" customFormat="1" ht="15">
      <c r="A27" s="89"/>
      <c r="B27" s="90"/>
      <c r="C27" s="99"/>
      <c r="D27" s="102" t="s">
        <v>64</v>
      </c>
      <c r="E27" s="103">
        <v>3.5</v>
      </c>
      <c r="F27" s="15"/>
      <c r="G27" s="91"/>
      <c r="I27" s="196">
        <v>11</v>
      </c>
      <c r="J27" s="197">
        <f>-5.853402 + (136.3817*I27)</f>
        <v>1494.345298</v>
      </c>
    </row>
    <row r="28" spans="1:10" s="23" customFormat="1" ht="15">
      <c r="A28" s="89"/>
      <c r="B28" s="90"/>
      <c r="C28" s="99"/>
      <c r="D28" s="102" t="s">
        <v>65</v>
      </c>
      <c r="E28" s="103">
        <v>2.5</v>
      </c>
      <c r="F28" s="15"/>
      <c r="G28" s="91"/>
      <c r="I28" s="196">
        <v>12</v>
      </c>
      <c r="J28" s="197">
        <f>-5.853402 + (136.3817*I28)</f>
        <v>1630.7269979999999</v>
      </c>
    </row>
    <row r="29" spans="1:10" s="23" customFormat="1" ht="15">
      <c r="A29" s="89"/>
      <c r="B29" s="90"/>
      <c r="C29" s="99"/>
      <c r="D29" s="102" t="s">
        <v>87</v>
      </c>
      <c r="E29" s="103">
        <v>2</v>
      </c>
      <c r="F29" s="15"/>
      <c r="G29" s="91"/>
      <c r="I29" s="196">
        <v>13</v>
      </c>
      <c r="J29" s="197">
        <f>-5.853402 + (136.3817*I29)</f>
        <v>1767.108698</v>
      </c>
    </row>
    <row r="30" spans="1:10" s="23" customFormat="1" ht="15" customHeight="1" thickBot="1">
      <c r="A30" s="89"/>
      <c r="B30" s="15"/>
      <c r="C30" s="15"/>
      <c r="D30" s="15"/>
      <c r="E30" s="92"/>
      <c r="F30" s="93"/>
      <c r="G30" s="91"/>
      <c r="I30" s="196">
        <v>14</v>
      </c>
      <c r="J30" s="197">
        <f>-5.853402 + (136.3817*I30)</f>
        <v>1903.4903979999999</v>
      </c>
    </row>
    <row r="31" spans="1:10" s="23" customFormat="1" ht="19" thickBot="1">
      <c r="A31" s="89"/>
      <c r="B31" s="283" t="s">
        <v>88</v>
      </c>
      <c r="C31" s="284"/>
      <c r="D31" s="284"/>
      <c r="E31" s="284"/>
      <c r="F31" s="285"/>
      <c r="G31" s="91"/>
      <c r="I31" s="196">
        <v>15</v>
      </c>
      <c r="J31" s="197">
        <f>-5.853402 + (136.3817*I31)</f>
        <v>2039.8720980000001</v>
      </c>
    </row>
    <row r="32" spans="1:10" ht="21" customHeight="1" thickBot="1">
      <c r="A32" s="5"/>
      <c r="B32" s="49" t="s">
        <v>53</v>
      </c>
      <c r="C32" s="50"/>
      <c r="D32" s="50"/>
      <c r="E32" s="51" t="s">
        <v>25</v>
      </c>
      <c r="F32" s="52"/>
      <c r="G32" s="14"/>
    </row>
    <row r="33" spans="1:7" ht="15">
      <c r="A33" s="5"/>
      <c r="B33" s="203" t="s">
        <v>48</v>
      </c>
      <c r="C33" s="204">
        <v>2800</v>
      </c>
      <c r="D33" s="205"/>
      <c r="E33" s="206" t="s">
        <v>54</v>
      </c>
      <c r="F33" s="207"/>
      <c r="G33" s="14"/>
    </row>
    <row r="34" spans="1:7" ht="15">
      <c r="A34" s="5"/>
      <c r="B34" s="208" t="s">
        <v>49</v>
      </c>
      <c r="C34" s="209">
        <v>300</v>
      </c>
      <c r="D34" s="210"/>
      <c r="E34" s="211" t="s">
        <v>56</v>
      </c>
      <c r="F34" s="212"/>
      <c r="G34" s="14"/>
    </row>
    <row r="35" spans="1:7" ht="15">
      <c r="A35" s="5"/>
      <c r="B35" s="29" t="s">
        <v>50</v>
      </c>
      <c r="C35" s="199">
        <v>100000</v>
      </c>
      <c r="D35" s="53"/>
      <c r="E35" s="54" t="s">
        <v>78</v>
      </c>
      <c r="F35" s="55"/>
      <c r="G35" s="14"/>
    </row>
    <row r="36" spans="1:7" ht="15">
      <c r="A36" s="5"/>
      <c r="B36" s="56" t="s">
        <v>55</v>
      </c>
      <c r="C36" s="57" t="s">
        <v>19</v>
      </c>
      <c r="D36" s="58">
        <f>C33*C34+C35</f>
        <v>940000</v>
      </c>
      <c r="E36" s="57" t="s">
        <v>23</v>
      </c>
      <c r="F36" s="59"/>
      <c r="G36" s="14"/>
    </row>
    <row r="37" spans="1:7" ht="15">
      <c r="A37" s="5"/>
      <c r="B37" s="213" t="s">
        <v>3</v>
      </c>
      <c r="C37" s="214">
        <v>5</v>
      </c>
      <c r="D37" s="215" t="s">
        <v>21</v>
      </c>
      <c r="E37" s="216" t="s">
        <v>4</v>
      </c>
      <c r="F37" s="217"/>
      <c r="G37" s="14"/>
    </row>
    <row r="38" spans="1:7" ht="16" thickBot="1">
      <c r="A38" s="5"/>
      <c r="B38" s="60" t="s">
        <v>5</v>
      </c>
      <c r="C38" s="200">
        <v>0.05</v>
      </c>
      <c r="D38" s="61" t="s">
        <v>22</v>
      </c>
      <c r="E38" s="62"/>
      <c r="F38" s="63"/>
      <c r="G38" s="14"/>
    </row>
    <row r="39" spans="1:7" ht="13.25" customHeight="1" thickBot="1">
      <c r="A39" s="5"/>
      <c r="B39" s="16"/>
      <c r="C39" s="17"/>
      <c r="D39" s="17"/>
      <c r="E39" s="18"/>
      <c r="F39" s="19"/>
      <c r="G39" s="8"/>
    </row>
    <row r="40" spans="1:7" ht="19" thickBot="1">
      <c r="A40" s="5"/>
      <c r="B40" s="276" t="s">
        <v>24</v>
      </c>
      <c r="C40" s="277"/>
      <c r="D40" s="64" t="s">
        <v>17</v>
      </c>
      <c r="E40" s="51" t="s">
        <v>25</v>
      </c>
      <c r="F40" s="65"/>
      <c r="G40" s="14"/>
    </row>
    <row r="41" spans="1:7" ht="15">
      <c r="A41" s="5"/>
      <c r="B41" s="218" t="s">
        <v>27</v>
      </c>
      <c r="C41" s="219">
        <v>2000</v>
      </c>
      <c r="D41" s="220" t="s">
        <v>33</v>
      </c>
      <c r="E41" s="206" t="s">
        <v>6</v>
      </c>
      <c r="F41" s="207"/>
      <c r="G41" s="14"/>
    </row>
    <row r="42" spans="1:7" ht="15">
      <c r="A42" s="5"/>
      <c r="B42" s="221" t="s">
        <v>67</v>
      </c>
      <c r="C42" s="222">
        <v>25000</v>
      </c>
      <c r="D42" s="223" t="s">
        <v>16</v>
      </c>
      <c r="E42" s="211" t="s">
        <v>40</v>
      </c>
      <c r="F42" s="212"/>
      <c r="G42" s="14"/>
    </row>
    <row r="43" spans="1:7" ht="15">
      <c r="A43" s="5"/>
      <c r="B43" s="224" t="s">
        <v>2</v>
      </c>
      <c r="C43" s="225">
        <v>0.18</v>
      </c>
      <c r="D43" s="226" t="s">
        <v>68</v>
      </c>
      <c r="E43" s="211" t="s">
        <v>35</v>
      </c>
      <c r="F43" s="212"/>
      <c r="G43" s="14"/>
    </row>
    <row r="44" spans="1:7" ht="15">
      <c r="A44" s="5"/>
      <c r="B44" s="224" t="s">
        <v>28</v>
      </c>
      <c r="C44" s="242">
        <v>0.33</v>
      </c>
      <c r="D44" s="243" t="s">
        <v>36</v>
      </c>
      <c r="E44" s="241" t="s">
        <v>104</v>
      </c>
      <c r="F44" s="212"/>
      <c r="G44" s="14"/>
    </row>
    <row r="45" spans="1:7" ht="16" thickBot="1">
      <c r="A45" s="5"/>
      <c r="B45" s="267" t="s">
        <v>34</v>
      </c>
      <c r="C45" s="266">
        <v>0.15</v>
      </c>
      <c r="D45" s="269" t="s">
        <v>97</v>
      </c>
      <c r="E45" s="270" t="s">
        <v>109</v>
      </c>
      <c r="F45" s="271"/>
      <c r="G45" s="14"/>
    </row>
    <row r="46" spans="1:7" ht="16" thickBot="1">
      <c r="A46" s="5"/>
      <c r="B46" s="268"/>
      <c r="C46" s="268"/>
      <c r="D46" s="268"/>
      <c r="E46" s="268"/>
      <c r="F46" s="268"/>
      <c r="G46" s="8"/>
    </row>
    <row r="47" spans="1:7" ht="19" thickBot="1">
      <c r="A47" s="5"/>
      <c r="B47" s="276" t="s">
        <v>52</v>
      </c>
      <c r="C47" s="277"/>
      <c r="D47" s="64" t="s">
        <v>17</v>
      </c>
      <c r="E47" s="51" t="s">
        <v>25</v>
      </c>
      <c r="F47" s="65"/>
      <c r="G47" s="8"/>
    </row>
    <row r="48" spans="1:7" ht="15">
      <c r="A48" s="5"/>
      <c r="B48" s="66" t="s">
        <v>75</v>
      </c>
      <c r="C48" s="201">
        <v>-5</v>
      </c>
      <c r="D48" s="67" t="s">
        <v>74</v>
      </c>
      <c r="E48" s="54" t="s">
        <v>39</v>
      </c>
      <c r="F48" s="55"/>
      <c r="G48" s="14"/>
    </row>
    <row r="49" spans="1:10" ht="15">
      <c r="A49" s="5"/>
      <c r="B49" s="68" t="s">
        <v>76</v>
      </c>
      <c r="C49" s="69">
        <f>D22+C48</f>
        <v>0</v>
      </c>
      <c r="D49" s="70" t="s">
        <v>74</v>
      </c>
      <c r="E49" s="71" t="s">
        <v>84</v>
      </c>
      <c r="F49" s="72"/>
      <c r="G49" s="14"/>
    </row>
    <row r="50" spans="1:10" ht="15">
      <c r="A50" s="5"/>
      <c r="B50" s="73" t="s">
        <v>57</v>
      </c>
      <c r="C50" s="74">
        <f>C42+((-5.853405+136.3817*D22)*1.3)</f>
        <v>25878.871623499999</v>
      </c>
      <c r="D50" s="75" t="s">
        <v>16</v>
      </c>
      <c r="E50" s="76" t="s">
        <v>80</v>
      </c>
      <c r="F50" s="77"/>
      <c r="G50" s="14"/>
    </row>
    <row r="51" spans="1:10" ht="16" thickBot="1">
      <c r="A51" s="5"/>
      <c r="B51" s="78" t="s">
        <v>59</v>
      </c>
      <c r="C51" s="79"/>
      <c r="D51" s="80">
        <f>C50-C42</f>
        <v>878.87162349999926</v>
      </c>
      <c r="E51" s="79" t="s">
        <v>41</v>
      </c>
      <c r="F51" s="81"/>
      <c r="G51" s="14"/>
    </row>
    <row r="52" spans="1:10" ht="15">
      <c r="A52" s="5"/>
      <c r="B52" s="227" t="s">
        <v>0</v>
      </c>
      <c r="C52" s="204">
        <v>1200</v>
      </c>
      <c r="D52" s="228"/>
      <c r="E52" s="206" t="s">
        <v>7</v>
      </c>
      <c r="F52" s="207"/>
      <c r="G52" s="14"/>
      <c r="I52" s="20"/>
      <c r="J52" s="21"/>
    </row>
    <row r="53" spans="1:10" ht="15">
      <c r="A53" s="5"/>
      <c r="B53" s="29" t="s">
        <v>1</v>
      </c>
      <c r="C53" s="199">
        <v>800</v>
      </c>
      <c r="D53" s="83"/>
      <c r="E53" s="54" t="s">
        <v>8</v>
      </c>
      <c r="F53" s="55"/>
      <c r="G53" s="14"/>
    </row>
    <row r="54" spans="1:10" ht="18" customHeight="1">
      <c r="A54" s="14"/>
      <c r="B54" s="73" t="s">
        <v>71</v>
      </c>
      <c r="C54" s="84">
        <f>(-5.853405+136.3817*D22)/1000*2.4</f>
        <v>1.6225322280000001</v>
      </c>
      <c r="D54" s="75" t="s">
        <v>18</v>
      </c>
      <c r="E54" s="76" t="s">
        <v>89</v>
      </c>
      <c r="F54" s="77"/>
      <c r="G54" s="14"/>
    </row>
    <row r="55" spans="1:10" ht="16" thickBot="1">
      <c r="A55" s="14"/>
      <c r="B55" s="85" t="s">
        <v>51</v>
      </c>
      <c r="C55" s="86"/>
      <c r="D55" s="87">
        <f>C41*C54/100</f>
        <v>32.450644560000001</v>
      </c>
      <c r="E55" s="86" t="s">
        <v>20</v>
      </c>
      <c r="F55" s="88"/>
      <c r="G55" s="14"/>
    </row>
    <row r="56" spans="1:10" ht="15">
      <c r="A56" s="5"/>
      <c r="B56" s="272"/>
      <c r="C56" s="15"/>
      <c r="D56" s="273"/>
      <c r="E56" s="15"/>
      <c r="F56" s="273"/>
      <c r="G56" s="8"/>
    </row>
    <row r="57" spans="1:10" ht="15" thickBot="1">
      <c r="A57" s="265"/>
      <c r="B57" s="265"/>
      <c r="C57" s="265"/>
      <c r="D57" s="265"/>
      <c r="E57" s="265"/>
      <c r="F57" s="248"/>
      <c r="G57" s="249"/>
      <c r="H57" s="22"/>
    </row>
    <row r="58" spans="1:10" ht="19" thickBot="1">
      <c r="A58" s="247"/>
      <c r="B58" s="274" t="s">
        <v>105</v>
      </c>
      <c r="C58" s="275"/>
      <c r="D58" s="250" t="s">
        <v>17</v>
      </c>
      <c r="E58" s="251" t="s">
        <v>25</v>
      </c>
      <c r="F58" s="252"/>
      <c r="G58" s="249"/>
    </row>
    <row r="59" spans="1:10" ht="15">
      <c r="A59" s="247"/>
      <c r="B59" s="253" t="s">
        <v>98</v>
      </c>
      <c r="C59" s="254">
        <v>5</v>
      </c>
      <c r="D59" s="255" t="s">
        <v>99</v>
      </c>
      <c r="E59" s="256" t="s">
        <v>100</v>
      </c>
      <c r="F59" s="257"/>
      <c r="G59" s="249"/>
    </row>
    <row r="60" spans="1:10" ht="15">
      <c r="A60" s="247"/>
      <c r="B60" s="253" t="s">
        <v>101</v>
      </c>
      <c r="C60" s="254">
        <v>364</v>
      </c>
      <c r="D60" s="255" t="s">
        <v>102</v>
      </c>
      <c r="E60" s="256" t="s">
        <v>106</v>
      </c>
      <c r="F60" s="257"/>
      <c r="G60" s="249"/>
    </row>
    <row r="61" spans="1:10" ht="15">
      <c r="A61" s="247"/>
      <c r="B61" s="253" t="s">
        <v>103</v>
      </c>
      <c r="C61" s="254">
        <v>111</v>
      </c>
      <c r="D61" s="255" t="s">
        <v>102</v>
      </c>
      <c r="E61" s="256" t="s">
        <v>107</v>
      </c>
      <c r="F61" s="257"/>
      <c r="G61" s="249"/>
    </row>
    <row r="62" spans="1:10" ht="16" thickBot="1">
      <c r="A62" s="247"/>
      <c r="B62" s="258" t="s">
        <v>34</v>
      </c>
      <c r="C62" s="259">
        <f>0.0172 + (0.00566*C59) + (0.000171*C60) + (0.000411*C61)</f>
        <v>0.153365</v>
      </c>
      <c r="D62" s="260" t="s">
        <v>97</v>
      </c>
      <c r="E62" s="260" t="s">
        <v>108</v>
      </c>
      <c r="F62" s="261"/>
      <c r="G62" s="249"/>
    </row>
    <row r="63" spans="1:10" ht="15" thickBot="1">
      <c r="A63" s="248"/>
      <c r="B63" s="248"/>
      <c r="C63" s="248"/>
      <c r="D63" s="248"/>
      <c r="E63" s="248"/>
      <c r="F63" s="248"/>
      <c r="G63" s="262"/>
    </row>
  </sheetData>
  <sheetProtection sheet="1" objects="1" scenarios="1" selectLockedCells="1"/>
  <mergeCells count="17">
    <mergeCell ref="B10:C10"/>
    <mergeCell ref="E10:F10"/>
    <mergeCell ref="B1:E1"/>
    <mergeCell ref="B7:C7"/>
    <mergeCell ref="B8:C8"/>
    <mergeCell ref="B2:D2"/>
    <mergeCell ref="B3:D3"/>
    <mergeCell ref="B9:F9"/>
    <mergeCell ref="B58:C58"/>
    <mergeCell ref="B47:C47"/>
    <mergeCell ref="B11:C11"/>
    <mergeCell ref="E11:F11"/>
    <mergeCell ref="B16:C16"/>
    <mergeCell ref="E16:F16"/>
    <mergeCell ref="B40:C40"/>
    <mergeCell ref="B22:C22"/>
    <mergeCell ref="B31:F31"/>
  </mergeCells>
  <dataValidations count="1">
    <dataValidation type="list" allowBlank="1" showInputMessage="1" showErrorMessage="1" sqref="C44">
      <formula1>lbsDryMatterPerlbsMilk</formula1>
    </dataValidation>
  </dataValidations>
  <printOptions horizontalCentered="1" verticalCentered="1"/>
  <pageMargins left="0.5" right="0.5" top="0.5" bottom="0.5" header="0.3" footer="0.3"/>
  <pageSetup scale="65" orientation="landscape"/>
  <headerFooter alignWithMargins="0">
    <oddFooter>&amp;R&amp;8&amp;F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61"/>
  <sheetViews>
    <sheetView topLeftCell="A8" workbookViewId="0">
      <selection activeCell="C38" sqref="C38"/>
    </sheetView>
  </sheetViews>
  <sheetFormatPr baseColWidth="10" defaultColWidth="8.6640625" defaultRowHeight="14" x14ac:dyDescent="0"/>
  <cols>
    <col min="1" max="1" width="3" style="104" customWidth="1"/>
    <col min="2" max="2" width="59.33203125" style="104" bestFit="1" customWidth="1"/>
    <col min="3" max="3" width="16.1640625" style="104" customWidth="1"/>
    <col min="4" max="4" width="13.83203125" style="104" bestFit="1" customWidth="1"/>
    <col min="5" max="5" width="59.33203125" style="104" customWidth="1"/>
    <col min="6" max="6" width="16.1640625" style="104" customWidth="1"/>
    <col min="7" max="8" width="3" style="104" customWidth="1"/>
    <col min="9" max="16384" width="8.6640625" style="104"/>
  </cols>
  <sheetData>
    <row r="1" spans="1:10" ht="27.75" customHeight="1">
      <c r="A1" s="193"/>
      <c r="B1" s="192" t="s">
        <v>95</v>
      </c>
      <c r="C1" s="191"/>
      <c r="D1" s="191"/>
      <c r="E1" s="191"/>
      <c r="F1" s="190"/>
      <c r="G1" s="189"/>
    </row>
    <row r="2" spans="1:10" ht="18" customHeight="1">
      <c r="A2" s="111"/>
      <c r="B2" s="311" t="s">
        <v>66</v>
      </c>
      <c r="C2" s="311"/>
      <c r="D2" s="311"/>
      <c r="E2" s="188"/>
      <c r="F2" s="153"/>
      <c r="G2" s="131"/>
      <c r="H2" s="177"/>
    </row>
    <row r="3" spans="1:10" ht="17.25" customHeight="1">
      <c r="A3" s="111"/>
      <c r="B3" s="311" t="s">
        <v>13</v>
      </c>
      <c r="C3" s="311"/>
      <c r="D3" s="311"/>
      <c r="E3" s="188"/>
      <c r="F3" s="153"/>
      <c r="G3" s="131"/>
      <c r="H3" s="177"/>
    </row>
    <row r="4" spans="1:10" ht="17.25" customHeight="1">
      <c r="A4" s="111"/>
      <c r="B4" s="229"/>
      <c r="C4" s="229"/>
      <c r="D4" s="229"/>
      <c r="E4" s="229"/>
      <c r="F4" s="153"/>
      <c r="G4" s="131"/>
      <c r="H4" s="177"/>
    </row>
    <row r="5" spans="1:10" ht="17.25" customHeight="1">
      <c r="A5" s="111"/>
      <c r="B5" s="240" t="s">
        <v>96</v>
      </c>
      <c r="C5" s="229"/>
      <c r="D5" s="229"/>
      <c r="E5" s="229"/>
      <c r="F5" s="153"/>
      <c r="G5" s="131"/>
      <c r="H5" s="177"/>
    </row>
    <row r="6" spans="1:10" ht="13.75" customHeight="1" thickBot="1">
      <c r="A6" s="111"/>
      <c r="B6" s="187"/>
      <c r="C6" s="186"/>
      <c r="D6" s="186"/>
      <c r="E6" s="186"/>
      <c r="F6" s="186"/>
      <c r="G6" s="131"/>
    </row>
    <row r="7" spans="1:10" ht="13.75" customHeight="1" thickBot="1">
      <c r="A7" s="111"/>
      <c r="B7" s="312" t="s">
        <v>82</v>
      </c>
      <c r="C7" s="313"/>
      <c r="D7" s="185"/>
      <c r="E7" s="185"/>
      <c r="F7" s="153"/>
      <c r="G7" s="131"/>
      <c r="H7" s="177"/>
    </row>
    <row r="8" spans="1:10" ht="13.75" customHeight="1" thickBot="1">
      <c r="A8" s="111"/>
      <c r="B8" s="314" t="s">
        <v>83</v>
      </c>
      <c r="C8" s="315"/>
      <c r="D8" s="182"/>
      <c r="E8" s="182"/>
      <c r="F8" s="182"/>
      <c r="G8" s="131"/>
      <c r="H8" s="177"/>
    </row>
    <row r="9" spans="1:10" ht="15" thickBot="1">
      <c r="A9" s="111"/>
      <c r="B9" s="184"/>
      <c r="C9" s="183"/>
      <c r="D9" s="182"/>
      <c r="E9" s="182"/>
      <c r="F9" s="182"/>
      <c r="G9" s="131"/>
      <c r="H9" s="177"/>
    </row>
    <row r="10" spans="1:10" ht="19" thickBot="1">
      <c r="A10" s="111"/>
      <c r="B10" s="308" t="s">
        <v>9</v>
      </c>
      <c r="C10" s="310"/>
      <c r="D10" s="159"/>
      <c r="E10" s="308" t="s">
        <v>85</v>
      </c>
      <c r="F10" s="310"/>
      <c r="G10" s="131"/>
      <c r="H10" s="177"/>
    </row>
    <row r="11" spans="1:10" ht="18" customHeight="1" thickBot="1">
      <c r="A11" s="111"/>
      <c r="B11" s="306" t="s">
        <v>29</v>
      </c>
      <c r="C11" s="307"/>
      <c r="D11" s="176"/>
      <c r="E11" s="304" t="s">
        <v>10</v>
      </c>
      <c r="F11" s="305"/>
      <c r="G11" s="131"/>
    </row>
    <row r="12" spans="1:10" ht="15">
      <c r="A12" s="111"/>
      <c r="B12" s="119" t="s">
        <v>14</v>
      </c>
      <c r="C12" s="30">
        <f>+HerdSize*Add_milk_cow_yr*Milk_price_lb</f>
        <v>346320</v>
      </c>
      <c r="D12" s="34"/>
      <c r="E12" s="120" t="s">
        <v>15</v>
      </c>
      <c r="F12" s="181">
        <f>HerdSize*Add_milk_cow_yr*LbDM_lbMilk*Cost_lbDM</f>
        <v>95238</v>
      </c>
      <c r="G12" s="131"/>
    </row>
    <row r="13" spans="1:10" ht="15">
      <c r="A13" s="111"/>
      <c r="B13" s="180" t="s">
        <v>19</v>
      </c>
      <c r="C13" s="33"/>
      <c r="D13" s="34"/>
      <c r="E13" s="180" t="s">
        <v>42</v>
      </c>
      <c r="F13" s="179">
        <f>PMT(Interest,PayPeriod,CostCapImprov)*-1</f>
        <v>197483.45239966924</v>
      </c>
      <c r="G13" s="131"/>
      <c r="I13" s="177"/>
      <c r="J13" s="177"/>
    </row>
    <row r="14" spans="1:10" ht="0.75" hidden="1" customHeight="1" thickBot="1">
      <c r="A14" s="111"/>
      <c r="B14" s="119"/>
      <c r="C14" s="30"/>
      <c r="D14" s="34"/>
      <c r="E14" s="119"/>
      <c r="F14" s="30"/>
      <c r="G14" s="131"/>
    </row>
    <row r="15" spans="1:10" ht="16.5" customHeight="1" thickBot="1">
      <c r="A15" s="111"/>
      <c r="B15" s="178" t="s">
        <v>44</v>
      </c>
      <c r="C15" s="36">
        <f>SUM(C12:C13)</f>
        <v>346320</v>
      </c>
      <c r="D15" s="37"/>
      <c r="E15" s="173" t="s">
        <v>46</v>
      </c>
      <c r="F15" s="36">
        <f>SUM(F12:F13)</f>
        <v>292721.45239966922</v>
      </c>
      <c r="G15" s="131"/>
      <c r="H15" s="177"/>
    </row>
    <row r="16" spans="1:10" ht="18" customHeight="1" thickBot="1">
      <c r="A16" s="111"/>
      <c r="B16" s="304" t="s">
        <v>11</v>
      </c>
      <c r="C16" s="305"/>
      <c r="D16" s="176"/>
      <c r="E16" s="304" t="s">
        <v>12</v>
      </c>
      <c r="F16" s="305"/>
      <c r="G16" s="131"/>
    </row>
    <row r="17" spans="1:7" ht="15">
      <c r="A17" s="111"/>
      <c r="B17" s="119" t="s">
        <v>43</v>
      </c>
      <c r="C17" s="30">
        <f>ReducCulls_Yr*CostReplHfr</f>
        <v>42624.000000000007</v>
      </c>
      <c r="D17" s="34"/>
      <c r="E17" s="175" t="s">
        <v>26</v>
      </c>
      <c r="F17" s="40">
        <f>ReducCulls_Yr*PriceCullCow</f>
        <v>31968.000000000004</v>
      </c>
      <c r="G17" s="131"/>
    </row>
    <row r="18" spans="1:7" ht="16" customHeight="1" thickBot="1">
      <c r="A18" s="111"/>
      <c r="B18" s="174" t="s">
        <v>45</v>
      </c>
      <c r="C18" s="38">
        <f>SUM(C17:C17)</f>
        <v>42624.000000000007</v>
      </c>
      <c r="D18" s="37"/>
      <c r="E18" s="173" t="s">
        <v>47</v>
      </c>
      <c r="F18" s="36">
        <f>SUM(F17)</f>
        <v>31968.000000000004</v>
      </c>
      <c r="G18" s="131"/>
    </row>
    <row r="19" spans="1:7" s="168" customFormat="1" ht="18" customHeight="1" thickBot="1">
      <c r="A19" s="172"/>
      <c r="B19" s="170" t="s">
        <v>31</v>
      </c>
      <c r="C19" s="44">
        <f>C15+C18</f>
        <v>388944</v>
      </c>
      <c r="D19" s="171"/>
      <c r="E19" s="170" t="s">
        <v>30</v>
      </c>
      <c r="F19" s="44">
        <f>F15+F18</f>
        <v>324689.45239966922</v>
      </c>
      <c r="G19" s="169"/>
    </row>
    <row r="20" spans="1:7" ht="19" thickBot="1">
      <c r="A20" s="111"/>
      <c r="B20" s="167"/>
      <c r="C20" s="166"/>
      <c r="D20" s="153"/>
      <c r="E20" s="165" t="s">
        <v>32</v>
      </c>
      <c r="F20" s="95">
        <f>C19-F19</f>
        <v>64254.547600330785</v>
      </c>
      <c r="G20" s="131"/>
    </row>
    <row r="21" spans="1:7" ht="19" thickBot="1">
      <c r="A21" s="111"/>
      <c r="B21" s="154"/>
      <c r="C21" s="153"/>
      <c r="D21" s="153"/>
      <c r="E21" s="164"/>
      <c r="F21" s="48"/>
      <c r="G21" s="131"/>
    </row>
    <row r="22" spans="1:7" ht="26" thickBot="1">
      <c r="A22" s="111"/>
      <c r="B22" s="298" t="s">
        <v>58</v>
      </c>
      <c r="C22" s="298"/>
      <c r="D22" s="231">
        <v>740</v>
      </c>
      <c r="E22" s="163" t="s">
        <v>60</v>
      </c>
      <c r="F22" s="155"/>
      <c r="G22" s="131"/>
    </row>
    <row r="23" spans="1:7" ht="15">
      <c r="A23" s="111"/>
      <c r="B23" s="162"/>
      <c r="C23" s="160"/>
      <c r="D23" s="161" t="s">
        <v>86</v>
      </c>
      <c r="E23" s="160"/>
      <c r="F23" s="160"/>
      <c r="G23" s="131"/>
    </row>
    <row r="24" spans="1:7" ht="15.5" customHeight="1">
      <c r="A24" s="111"/>
      <c r="B24" s="159"/>
      <c r="C24" s="159"/>
      <c r="D24" s="159"/>
      <c r="E24" s="158"/>
      <c r="F24" s="48"/>
      <c r="G24" s="131"/>
    </row>
    <row r="25" spans="1:7" ht="15">
      <c r="A25" s="111"/>
      <c r="B25" s="302" t="s">
        <v>61</v>
      </c>
      <c r="C25" s="302"/>
      <c r="D25" s="302"/>
      <c r="E25" s="157" t="s">
        <v>63</v>
      </c>
      <c r="F25" s="155"/>
      <c r="G25" s="131"/>
    </row>
    <row r="26" spans="1:7" ht="15">
      <c r="A26" s="111"/>
      <c r="B26" s="303" t="s">
        <v>62</v>
      </c>
      <c r="C26" s="303"/>
      <c r="D26" s="303"/>
      <c r="E26" s="156">
        <v>900</v>
      </c>
      <c r="F26" s="155"/>
      <c r="G26" s="131"/>
    </row>
    <row r="27" spans="1:7" ht="15">
      <c r="A27" s="111"/>
      <c r="B27" s="303" t="s">
        <v>64</v>
      </c>
      <c r="C27" s="303"/>
      <c r="D27" s="303"/>
      <c r="E27" s="156">
        <v>500</v>
      </c>
      <c r="F27" s="155"/>
      <c r="G27" s="131"/>
    </row>
    <row r="28" spans="1:7" ht="15">
      <c r="A28" s="111"/>
      <c r="B28" s="303" t="s">
        <v>65</v>
      </c>
      <c r="C28" s="303"/>
      <c r="D28" s="303"/>
      <c r="E28" s="156">
        <v>300</v>
      </c>
      <c r="F28" s="155"/>
      <c r="G28" s="131"/>
    </row>
    <row r="29" spans="1:7" ht="15">
      <c r="A29" s="111"/>
      <c r="B29" s="303" t="s">
        <v>87</v>
      </c>
      <c r="C29" s="303"/>
      <c r="D29" s="303"/>
      <c r="E29" s="156">
        <v>250</v>
      </c>
      <c r="F29" s="155"/>
      <c r="G29" s="131"/>
    </row>
    <row r="30" spans="1:7" ht="15.5" customHeight="1" thickBot="1">
      <c r="A30" s="111"/>
      <c r="B30" s="154"/>
      <c r="C30" s="153"/>
      <c r="D30" s="153"/>
      <c r="E30" s="153"/>
      <c r="F30" s="152"/>
      <c r="G30" s="131"/>
    </row>
    <row r="31" spans="1:7" ht="18.5" customHeight="1" thickBot="1">
      <c r="A31" s="111"/>
      <c r="B31" s="308" t="s">
        <v>88</v>
      </c>
      <c r="C31" s="309"/>
      <c r="D31" s="309"/>
      <c r="E31" s="309"/>
      <c r="F31" s="310"/>
      <c r="G31" s="131"/>
    </row>
    <row r="32" spans="1:7" ht="19" thickBot="1">
      <c r="A32" s="111"/>
      <c r="B32" s="295" t="s">
        <v>53</v>
      </c>
      <c r="C32" s="296"/>
      <c r="D32" s="296"/>
      <c r="E32" s="296"/>
      <c r="F32" s="297"/>
      <c r="G32" s="106"/>
    </row>
    <row r="33" spans="1:7" ht="15">
      <c r="A33" s="111"/>
      <c r="B33" s="149" t="s">
        <v>48</v>
      </c>
      <c r="C33" s="199">
        <v>2800</v>
      </c>
      <c r="D33" s="53"/>
      <c r="E33" s="151" t="s">
        <v>54</v>
      </c>
      <c r="F33" s="150"/>
      <c r="G33" s="106"/>
    </row>
    <row r="34" spans="1:7" ht="15">
      <c r="A34" s="111"/>
      <c r="B34" s="149" t="s">
        <v>49</v>
      </c>
      <c r="C34" s="199">
        <v>300</v>
      </c>
      <c r="D34" s="53"/>
      <c r="E34" s="118" t="s">
        <v>56</v>
      </c>
      <c r="F34" s="117"/>
      <c r="G34" s="106"/>
    </row>
    <row r="35" spans="1:7" ht="15">
      <c r="A35" s="111"/>
      <c r="B35" s="119" t="s">
        <v>50</v>
      </c>
      <c r="C35" s="199">
        <v>15000</v>
      </c>
      <c r="D35" s="53"/>
      <c r="E35" s="118" t="s">
        <v>94</v>
      </c>
      <c r="F35" s="117"/>
      <c r="G35" s="106"/>
    </row>
    <row r="36" spans="1:7" ht="15">
      <c r="A36" s="111"/>
      <c r="B36" s="148" t="s">
        <v>55</v>
      </c>
      <c r="C36" s="146" t="s">
        <v>19</v>
      </c>
      <c r="D36" s="147">
        <f>C33*C34+C35</f>
        <v>855000</v>
      </c>
      <c r="E36" s="146" t="s">
        <v>23</v>
      </c>
      <c r="F36" s="145"/>
      <c r="G36" s="106"/>
    </row>
    <row r="37" spans="1:7" ht="15">
      <c r="A37" s="111"/>
      <c r="B37" s="144" t="s">
        <v>3</v>
      </c>
      <c r="C37" s="232">
        <v>5</v>
      </c>
      <c r="D37" s="143" t="s">
        <v>21</v>
      </c>
      <c r="E37" s="118" t="s">
        <v>4</v>
      </c>
      <c r="F37" s="117"/>
      <c r="G37" s="106"/>
    </row>
    <row r="38" spans="1:7" ht="16" thickBot="1">
      <c r="A38" s="111"/>
      <c r="B38" s="142" t="s">
        <v>93</v>
      </c>
      <c r="C38" s="236">
        <v>0.05</v>
      </c>
      <c r="D38" s="141" t="s">
        <v>22</v>
      </c>
      <c r="E38" s="140"/>
      <c r="F38" s="139"/>
      <c r="G38" s="106"/>
    </row>
    <row r="39" spans="1:7" ht="19" thickBot="1">
      <c r="A39" s="111"/>
      <c r="B39" s="295" t="s">
        <v>92</v>
      </c>
      <c r="C39" s="299"/>
      <c r="D39" s="134" t="s">
        <v>17</v>
      </c>
      <c r="E39" s="133" t="s">
        <v>25</v>
      </c>
      <c r="F39" s="132"/>
      <c r="G39" s="106"/>
    </row>
    <row r="40" spans="1:7" ht="15">
      <c r="A40" s="111"/>
      <c r="B40" s="138" t="s">
        <v>27</v>
      </c>
      <c r="C40" s="233">
        <v>2000</v>
      </c>
      <c r="D40" s="137" t="s">
        <v>33</v>
      </c>
      <c r="E40" s="136" t="s">
        <v>6</v>
      </c>
      <c r="F40" s="117"/>
      <c r="G40" s="106"/>
    </row>
    <row r="41" spans="1:7" ht="15">
      <c r="A41" s="111"/>
      <c r="B41" s="130" t="s">
        <v>67</v>
      </c>
      <c r="C41" s="234">
        <v>26000</v>
      </c>
      <c r="D41" s="129" t="s">
        <v>16</v>
      </c>
      <c r="E41" s="118" t="s">
        <v>40</v>
      </c>
      <c r="F41" s="117"/>
      <c r="G41" s="106"/>
    </row>
    <row r="42" spans="1:7" ht="15">
      <c r="A42" s="111"/>
      <c r="B42" s="119" t="s">
        <v>2</v>
      </c>
      <c r="C42" s="235">
        <v>0.18</v>
      </c>
      <c r="D42" s="135" t="s">
        <v>68</v>
      </c>
      <c r="E42" s="118" t="s">
        <v>35</v>
      </c>
      <c r="F42" s="117"/>
      <c r="G42" s="106"/>
    </row>
    <row r="43" spans="1:7" ht="15">
      <c r="A43" s="111"/>
      <c r="B43" s="119" t="s">
        <v>28</v>
      </c>
      <c r="C43" s="246">
        <v>0.33</v>
      </c>
      <c r="D43" s="244" t="s">
        <v>36</v>
      </c>
      <c r="E43" s="245" t="s">
        <v>104</v>
      </c>
      <c r="F43" s="117"/>
      <c r="G43" s="106"/>
    </row>
    <row r="44" spans="1:7" ht="16" thickBot="1">
      <c r="A44" s="111"/>
      <c r="B44" s="130" t="s">
        <v>34</v>
      </c>
      <c r="C44" s="237">
        <v>0.15</v>
      </c>
      <c r="D44" s="135" t="s">
        <v>68</v>
      </c>
      <c r="E44" s="194" t="s">
        <v>109</v>
      </c>
      <c r="F44" s="117"/>
      <c r="G44" s="106"/>
    </row>
    <row r="45" spans="1:7" ht="19" thickBot="1">
      <c r="A45" s="111"/>
      <c r="B45" s="295" t="s">
        <v>52</v>
      </c>
      <c r="C45" s="299"/>
      <c r="D45" s="134" t="s">
        <v>17</v>
      </c>
      <c r="E45" s="133" t="s">
        <v>25</v>
      </c>
      <c r="F45" s="132"/>
      <c r="G45" s="131"/>
    </row>
    <row r="46" spans="1:7" ht="15">
      <c r="A46" s="111"/>
      <c r="B46" s="130" t="s">
        <v>37</v>
      </c>
      <c r="C46" s="238">
        <v>-50</v>
      </c>
      <c r="D46" s="129" t="s">
        <v>38</v>
      </c>
      <c r="E46" s="118" t="s">
        <v>39</v>
      </c>
      <c r="F46" s="117"/>
      <c r="G46" s="106"/>
    </row>
    <row r="47" spans="1:7" ht="15">
      <c r="A47" s="111"/>
      <c r="B47" s="128" t="s">
        <v>70</v>
      </c>
      <c r="C47" s="127">
        <f>D22+C46</f>
        <v>690</v>
      </c>
      <c r="D47" s="126" t="s">
        <v>38</v>
      </c>
      <c r="E47" s="300" t="s">
        <v>91</v>
      </c>
      <c r="F47" s="301"/>
      <c r="G47" s="106"/>
    </row>
    <row r="48" spans="1:7" ht="15">
      <c r="A48" s="111"/>
      <c r="B48" s="116" t="s">
        <v>57</v>
      </c>
      <c r="C48" s="125">
        <f>+C41+(D22*1.3)</f>
        <v>26962</v>
      </c>
      <c r="D48" s="114" t="s">
        <v>16</v>
      </c>
      <c r="E48" s="113" t="s">
        <v>69</v>
      </c>
      <c r="F48" s="112"/>
      <c r="G48" s="106"/>
    </row>
    <row r="49" spans="1:9" ht="16" thickBot="1">
      <c r="A49" s="111"/>
      <c r="B49" s="124" t="s">
        <v>59</v>
      </c>
      <c r="C49" s="122"/>
      <c r="D49" s="123">
        <f>C48-C41</f>
        <v>962</v>
      </c>
      <c r="E49" s="122" t="s">
        <v>41</v>
      </c>
      <c r="F49" s="121"/>
      <c r="G49" s="106"/>
    </row>
    <row r="50" spans="1:9" ht="15">
      <c r="A50" s="111"/>
      <c r="B50" s="120" t="s">
        <v>0</v>
      </c>
      <c r="C50" s="239">
        <v>1200</v>
      </c>
      <c r="D50" s="82"/>
      <c r="E50" s="118" t="s">
        <v>7</v>
      </c>
      <c r="F50" s="117"/>
      <c r="G50" s="106"/>
    </row>
    <row r="51" spans="1:9" ht="15">
      <c r="A51" s="111"/>
      <c r="B51" s="119" t="s">
        <v>1</v>
      </c>
      <c r="C51" s="199">
        <v>900</v>
      </c>
      <c r="D51" s="83"/>
      <c r="E51" s="118" t="s">
        <v>8</v>
      </c>
      <c r="F51" s="117"/>
      <c r="G51" s="106"/>
    </row>
    <row r="52" spans="1:9" ht="18" customHeight="1">
      <c r="A52" s="111"/>
      <c r="B52" s="116" t="s">
        <v>71</v>
      </c>
      <c r="C52" s="115">
        <f>D22/1000*2.4</f>
        <v>1.776</v>
      </c>
      <c r="D52" s="114" t="s">
        <v>18</v>
      </c>
      <c r="E52" s="113" t="s">
        <v>90</v>
      </c>
      <c r="F52" s="112"/>
      <c r="G52" s="106"/>
    </row>
    <row r="53" spans="1:9" ht="16" thickBot="1">
      <c r="A53" s="111"/>
      <c r="B53" s="110" t="s">
        <v>51</v>
      </c>
      <c r="C53" s="108"/>
      <c r="D53" s="109">
        <f>C40*C52/100</f>
        <v>35.520000000000003</v>
      </c>
      <c r="E53" s="108" t="s">
        <v>20</v>
      </c>
      <c r="F53" s="107"/>
      <c r="G53" s="106"/>
    </row>
    <row r="54" spans="1:9" ht="15">
      <c r="A54" s="111"/>
      <c r="B54" s="263"/>
      <c r="C54" s="154"/>
      <c r="D54" s="264"/>
      <c r="E54" s="154"/>
      <c r="F54" s="264"/>
      <c r="G54" s="131"/>
    </row>
    <row r="55" spans="1:9" ht="15" thickBot="1">
      <c r="A55" s="265"/>
      <c r="B55" s="265"/>
      <c r="C55" s="265"/>
      <c r="D55" s="265"/>
      <c r="E55" s="265"/>
      <c r="F55" s="248"/>
      <c r="G55" s="249"/>
      <c r="I55" s="105"/>
    </row>
    <row r="56" spans="1:9" ht="19" thickBot="1">
      <c r="A56" s="247"/>
      <c r="B56" s="274" t="s">
        <v>105</v>
      </c>
      <c r="C56" s="275"/>
      <c r="D56" s="250" t="s">
        <v>17</v>
      </c>
      <c r="E56" s="251" t="s">
        <v>25</v>
      </c>
      <c r="F56" s="252"/>
      <c r="G56" s="249"/>
    </row>
    <row r="57" spans="1:9" ht="15">
      <c r="A57" s="247"/>
      <c r="B57" s="253" t="s">
        <v>98</v>
      </c>
      <c r="C57" s="254">
        <v>5</v>
      </c>
      <c r="D57" s="255" t="s">
        <v>99</v>
      </c>
      <c r="E57" s="256" t="s">
        <v>100</v>
      </c>
      <c r="F57" s="257"/>
      <c r="G57" s="249"/>
    </row>
    <row r="58" spans="1:9" ht="15">
      <c r="A58" s="247"/>
      <c r="B58" s="253" t="s">
        <v>101</v>
      </c>
      <c r="C58" s="254">
        <v>364</v>
      </c>
      <c r="D58" s="255" t="s">
        <v>102</v>
      </c>
      <c r="E58" s="256" t="s">
        <v>106</v>
      </c>
      <c r="F58" s="257"/>
      <c r="G58" s="249"/>
    </row>
    <row r="59" spans="1:9" ht="15">
      <c r="A59" s="247"/>
      <c r="B59" s="253" t="s">
        <v>103</v>
      </c>
      <c r="C59" s="254">
        <v>111</v>
      </c>
      <c r="D59" s="255" t="s">
        <v>102</v>
      </c>
      <c r="E59" s="256" t="s">
        <v>107</v>
      </c>
      <c r="F59" s="257"/>
      <c r="G59" s="249"/>
    </row>
    <row r="60" spans="1:9" ht="16" thickBot="1">
      <c r="A60" s="247"/>
      <c r="B60" s="258" t="s">
        <v>34</v>
      </c>
      <c r="C60" s="259">
        <v>0.15</v>
      </c>
      <c r="D60" s="260" t="s">
        <v>97</v>
      </c>
      <c r="E60" s="260" t="s">
        <v>108</v>
      </c>
      <c r="F60" s="261"/>
      <c r="G60" s="249"/>
    </row>
    <row r="61" spans="1:9" ht="15" thickBot="1">
      <c r="A61" s="248"/>
      <c r="B61" s="248"/>
      <c r="C61" s="248"/>
      <c r="D61" s="248"/>
      <c r="E61" s="248"/>
      <c r="F61" s="248"/>
      <c r="G61" s="262"/>
    </row>
  </sheetData>
  <sheetProtection sheet="1" objects="1" scenarios="1" selectLockedCells="1"/>
  <mergeCells count="22">
    <mergeCell ref="B2:D2"/>
    <mergeCell ref="B3:D3"/>
    <mergeCell ref="B10:C10"/>
    <mergeCell ref="E10:F10"/>
    <mergeCell ref="B7:C7"/>
    <mergeCell ref="B8:C8"/>
    <mergeCell ref="B16:C16"/>
    <mergeCell ref="E16:F16"/>
    <mergeCell ref="B11:C11"/>
    <mergeCell ref="E11:F11"/>
    <mergeCell ref="B31:F31"/>
    <mergeCell ref="B56:C56"/>
    <mergeCell ref="B32:F32"/>
    <mergeCell ref="B22:C22"/>
    <mergeCell ref="B45:C45"/>
    <mergeCell ref="E47:F47"/>
    <mergeCell ref="B25:D25"/>
    <mergeCell ref="B28:D28"/>
    <mergeCell ref="B29:D29"/>
    <mergeCell ref="B27:D27"/>
    <mergeCell ref="B26:D26"/>
    <mergeCell ref="B39:C39"/>
  </mergeCells>
  <dataValidations count="1">
    <dataValidation type="list" allowBlank="1" showInputMessage="1" showErrorMessage="1" sqref="C43">
      <formula1>lbsDryMatterPerlbsMilk</formula1>
    </dataValidation>
  </dataValidations>
  <printOptions horizontalCentered="1" verticalCentered="1"/>
  <pageMargins left="0.5" right="0.5" top="0.5" bottom="0.5" header="0.3" footer="0.3"/>
  <pageSetup scale="66" orientation="landscape"/>
  <headerFooter alignWithMargins="0">
    <oddFooter>&amp;R&amp;8&amp;F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RowHeight="12" x14ac:dyDescent="0"/>
  <sheetData>
    <row r="1" spans="1:1">
      <c r="A1">
        <v>0.33</v>
      </c>
    </row>
    <row r="2" spans="1:1">
      <c r="A2">
        <v>0.44</v>
      </c>
    </row>
  </sheetData>
  <sheetProtection sheet="1" objects="1" scenarios="1" selectLockedCells="1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TCI-DTransitionBarnCalculator</vt:lpstr>
      <vt:lpstr>TCI305TransitionBarnCalculator</vt:lpstr>
      <vt:lpstr>Sheet1</vt:lpstr>
    </vt:vector>
  </TitlesOfParts>
  <Company>UW School of Vetmed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Nigel Cook</dc:creator>
  <cp:lastModifiedBy>Courtney Halbach</cp:lastModifiedBy>
  <cp:lastPrinted>2012-01-12T18:13:59Z</cp:lastPrinted>
  <dcterms:created xsi:type="dcterms:W3CDTF">2006-09-23T21:17:36Z</dcterms:created>
  <dcterms:modified xsi:type="dcterms:W3CDTF">2015-03-27T15:19:39Z</dcterms:modified>
</cp:coreProperties>
</file>